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C:\Users\Sarah\Dropbox\Spiny Vertebrates\TempFileTransfer\"/>
    </mc:Choice>
  </mc:AlternateContent>
  <xr:revisionPtr revIDLastSave="0" documentId="13_ncr:1_{BD298465-EC00-473C-80C1-6084C1CC7D4F}" xr6:coauthVersionLast="47" xr6:coauthVersionMax="47" xr10:uidLastSave="{00000000-0000-0000-0000-000000000000}"/>
  <bookViews>
    <workbookView xWindow="-75" yWindow="-16320" windowWidth="27675" windowHeight="16440" tabRatio="341" activeTab="8" xr2:uid="{7D394218-AEA9-4C27-AB98-236D9A1A8E38}"/>
  </bookViews>
  <sheets>
    <sheet name="1a.birds" sheetId="4" r:id="rId1"/>
    <sheet name="1b.mammals" sheetId="5" r:id="rId2"/>
    <sheet name="1c.frogs" sheetId="3" r:id="rId3"/>
    <sheet name="1d.reptiles" sheetId="6" r:id="rId4"/>
    <sheet name="1e.fish" sheetId="1" r:id="rId5"/>
    <sheet name="1f.crayfish" sheetId="2" r:id="rId6"/>
    <sheet name="1g.Site-levelPopEst" sheetId="8" r:id="rId7"/>
    <sheet name="1h.allspecies_summary" sheetId="7" r:id="rId8"/>
    <sheet name="ReadMe" sheetId="9" r:id="rId9"/>
    <sheet name="report authors" sheetId="11" r:id="rId10"/>
  </sheets>
  <externalReferences>
    <externalReference r:id="rId11"/>
  </externalReferences>
  <definedNames>
    <definedName name="_xlnm._FilterDatabase" localSheetId="0" hidden="1">'1a.birds'!$A$2:$CE$74</definedName>
    <definedName name="_xlnm._FilterDatabase" localSheetId="1" hidden="1">'1b.mammals'!$A$2:$KW$58</definedName>
    <definedName name="_xlnm._FilterDatabase" localSheetId="2" hidden="1">'1c.frogs'!$A$2:$CB$68</definedName>
    <definedName name="_xlnm._FilterDatabase" localSheetId="3" hidden="1">'1d.reptiles'!$A$2:$DY$47</definedName>
    <definedName name="_xlnm._FilterDatabase" localSheetId="4" hidden="1">'1e.fish'!$A$2:$CA$23</definedName>
    <definedName name="_xlnm._FilterDatabase" localSheetId="5" hidden="1">'1f.crayfish'!$A$2:$IZ$2</definedName>
    <definedName name="_xlnm._FilterDatabase" localSheetId="7" hidden="1">'1h.allspecies_summary'!$A$30:$AC$177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76" i="7" l="1"/>
  <c r="AC275" i="7"/>
  <c r="AC274" i="7"/>
  <c r="AO39" i="6"/>
  <c r="AO38" i="6"/>
  <c r="AO37" i="6"/>
  <c r="Q109" i="7" l="1"/>
  <c r="R109" i="7"/>
  <c r="S109" i="7"/>
  <c r="T109" i="7"/>
  <c r="U109" i="7"/>
  <c r="V109" i="7"/>
  <c r="W109" i="7"/>
  <c r="X109" i="7"/>
  <c r="Y109" i="7"/>
  <c r="P109" i="7" l="1"/>
  <c r="O109" i="7"/>
  <c r="N109" i="7"/>
  <c r="M109" i="7"/>
  <c r="L109" i="7"/>
  <c r="K109" i="7"/>
  <c r="J109" i="7"/>
  <c r="I109" i="7"/>
  <c r="H109" i="7"/>
  <c r="M1559" i="8"/>
  <c r="L1559" i="8"/>
  <c r="K1559" i="8"/>
  <c r="M1550" i="8"/>
  <c r="L1550" i="8"/>
  <c r="K1550" i="8"/>
  <c r="M1541" i="8"/>
  <c r="L1541" i="8"/>
  <c r="K1541" i="8"/>
  <c r="M1532" i="8"/>
  <c r="L1532" i="8"/>
  <c r="K1532" i="8"/>
  <c r="M1523" i="8"/>
  <c r="L1523" i="8"/>
  <c r="K1523" i="8"/>
  <c r="M1514" i="8"/>
  <c r="L1514" i="8"/>
  <c r="K1514" i="8"/>
  <c r="M1505" i="8"/>
  <c r="L1505" i="8"/>
  <c r="K1505" i="8"/>
  <c r="M1496" i="8"/>
  <c r="L1496" i="8"/>
  <c r="K1496" i="8"/>
  <c r="M1487" i="8"/>
  <c r="L1487" i="8"/>
  <c r="K1487" i="8"/>
  <c r="M1478" i="8"/>
  <c r="L1478" i="8"/>
  <c r="K1478" i="8"/>
  <c r="M1469" i="8"/>
  <c r="L1469" i="8"/>
  <c r="K1469" i="8"/>
  <c r="M1460" i="8"/>
  <c r="L1460" i="8"/>
  <c r="K1460" i="8"/>
  <c r="M1451" i="8"/>
  <c r="L1451" i="8"/>
  <c r="K1451" i="8"/>
  <c r="M1442" i="8"/>
  <c r="L1442" i="8"/>
  <c r="K1442" i="8"/>
  <c r="M1433" i="8"/>
  <c r="L1433" i="8"/>
  <c r="K1433" i="8"/>
  <c r="M1424" i="8"/>
  <c r="L1424" i="8"/>
  <c r="K1424" i="8"/>
  <c r="M1415" i="8"/>
  <c r="L1415" i="8"/>
  <c r="K1415" i="8"/>
  <c r="M1406" i="8"/>
  <c r="L1406" i="8"/>
  <c r="K1406" i="8"/>
  <c r="M1397" i="8"/>
  <c r="L1397" i="8"/>
  <c r="K1397" i="8"/>
  <c r="M1388" i="8"/>
  <c r="L1388" i="8"/>
  <c r="K1388" i="8"/>
  <c r="M1379" i="8"/>
  <c r="L1379" i="8"/>
  <c r="K1379" i="8"/>
  <c r="M1370" i="8"/>
  <c r="L1370" i="8"/>
  <c r="K1370" i="8"/>
  <c r="M1361" i="8"/>
  <c r="L1361" i="8"/>
  <c r="K1361" i="8"/>
  <c r="M1352" i="8"/>
  <c r="L1352" i="8"/>
  <c r="K1352" i="8"/>
  <c r="M1343" i="8"/>
  <c r="L1343" i="8"/>
  <c r="K1343" i="8"/>
  <c r="M1558" i="8"/>
  <c r="L1558" i="8"/>
  <c r="K1558" i="8"/>
  <c r="M1549" i="8"/>
  <c r="L1549" i="8"/>
  <c r="K1549" i="8"/>
  <c r="M1540" i="8"/>
  <c r="L1540" i="8"/>
  <c r="K1540" i="8"/>
  <c r="M1531" i="8"/>
  <c r="L1531" i="8"/>
  <c r="K1531" i="8"/>
  <c r="M1522" i="8"/>
  <c r="L1522" i="8"/>
  <c r="K1522" i="8"/>
  <c r="M1513" i="8"/>
  <c r="L1513" i="8"/>
  <c r="K1513" i="8"/>
  <c r="M1504" i="8"/>
  <c r="L1504" i="8"/>
  <c r="K1504" i="8"/>
  <c r="M1495" i="8"/>
  <c r="L1495" i="8"/>
  <c r="K1495" i="8"/>
  <c r="M1486" i="8"/>
  <c r="L1486" i="8"/>
  <c r="K1486" i="8"/>
  <c r="M1477" i="8"/>
  <c r="L1477" i="8"/>
  <c r="K1477" i="8"/>
  <c r="M1468" i="8"/>
  <c r="L1468" i="8"/>
  <c r="K1468" i="8"/>
  <c r="M1459" i="8"/>
  <c r="L1459" i="8"/>
  <c r="K1459" i="8"/>
  <c r="M1450" i="8"/>
  <c r="L1450" i="8"/>
  <c r="K1450" i="8"/>
  <c r="M1441" i="8"/>
  <c r="L1441" i="8"/>
  <c r="K1441" i="8"/>
  <c r="M1432" i="8"/>
  <c r="L1432" i="8"/>
  <c r="K1432" i="8"/>
  <c r="M1423" i="8"/>
  <c r="L1423" i="8"/>
  <c r="K1423" i="8"/>
  <c r="M1414" i="8"/>
  <c r="L1414" i="8"/>
  <c r="K1414" i="8"/>
  <c r="M1405" i="8"/>
  <c r="L1405" i="8"/>
  <c r="K1405" i="8"/>
  <c r="M1396" i="8"/>
  <c r="L1396" i="8"/>
  <c r="K1396" i="8"/>
  <c r="M1387" i="8"/>
  <c r="L1387" i="8"/>
  <c r="K1387" i="8"/>
  <c r="M1378" i="8"/>
  <c r="L1378" i="8"/>
  <c r="K1378" i="8"/>
  <c r="M1369" i="8"/>
  <c r="L1369" i="8"/>
  <c r="K1369" i="8"/>
  <c r="M1360" i="8"/>
  <c r="L1360" i="8"/>
  <c r="K1360" i="8"/>
  <c r="M1351" i="8"/>
  <c r="L1351" i="8"/>
  <c r="K1351" i="8"/>
  <c r="M1342" i="8"/>
  <c r="L1342" i="8"/>
  <c r="K1342" i="8"/>
  <c r="M1557" i="8"/>
  <c r="L1557" i="8"/>
  <c r="K1557" i="8"/>
  <c r="M1548" i="8"/>
  <c r="L1548" i="8"/>
  <c r="K1548" i="8"/>
  <c r="M1539" i="8"/>
  <c r="L1539" i="8"/>
  <c r="K1539" i="8"/>
  <c r="M1530" i="8"/>
  <c r="L1530" i="8"/>
  <c r="K1530" i="8"/>
  <c r="M1521" i="8"/>
  <c r="L1521" i="8"/>
  <c r="K1521" i="8"/>
  <c r="M1512" i="8"/>
  <c r="L1512" i="8"/>
  <c r="K1512" i="8"/>
  <c r="M1503" i="8"/>
  <c r="L1503" i="8"/>
  <c r="K1503" i="8"/>
  <c r="M1494" i="8"/>
  <c r="L1494" i="8"/>
  <c r="K1494" i="8"/>
  <c r="M1485" i="8"/>
  <c r="L1485" i="8"/>
  <c r="K1485" i="8"/>
  <c r="M1476" i="8"/>
  <c r="L1476" i="8"/>
  <c r="K1476" i="8"/>
  <c r="M1467" i="8"/>
  <c r="L1467" i="8"/>
  <c r="K1467" i="8"/>
  <c r="M1458" i="8"/>
  <c r="L1458" i="8"/>
  <c r="K1458" i="8"/>
  <c r="M1449" i="8"/>
  <c r="L1449" i="8"/>
  <c r="K1449" i="8"/>
  <c r="M1440" i="8"/>
  <c r="L1440" i="8"/>
  <c r="K1440" i="8"/>
  <c r="M1431" i="8"/>
  <c r="L1431" i="8"/>
  <c r="K1431" i="8"/>
  <c r="M1422" i="8"/>
  <c r="L1422" i="8"/>
  <c r="K1422" i="8"/>
  <c r="M1413" i="8"/>
  <c r="L1413" i="8"/>
  <c r="K1413" i="8"/>
  <c r="M1404" i="8"/>
  <c r="L1404" i="8"/>
  <c r="K1404" i="8"/>
  <c r="M1395" i="8"/>
  <c r="L1395" i="8"/>
  <c r="K1395" i="8"/>
  <c r="M1386" i="8"/>
  <c r="L1386" i="8"/>
  <c r="K1386" i="8"/>
  <c r="M1377" i="8"/>
  <c r="L1377" i="8"/>
  <c r="K1377" i="8"/>
  <c r="M1368" i="8"/>
  <c r="L1368" i="8"/>
  <c r="K1368" i="8"/>
  <c r="M1359" i="8"/>
  <c r="L1359" i="8"/>
  <c r="K1359" i="8"/>
  <c r="M1350" i="8"/>
  <c r="L1350" i="8"/>
  <c r="K1350" i="8"/>
  <c r="M1341" i="8"/>
  <c r="L1341" i="8"/>
  <c r="K1341" i="8"/>
  <c r="M1556" i="8"/>
  <c r="L1556" i="8"/>
  <c r="K1556" i="8"/>
  <c r="M1547" i="8"/>
  <c r="L1547" i="8"/>
  <c r="K1547" i="8"/>
  <c r="M1538" i="8"/>
  <c r="L1538" i="8"/>
  <c r="K1538" i="8"/>
  <c r="M1529" i="8"/>
  <c r="L1529" i="8"/>
  <c r="K1529" i="8"/>
  <c r="M1520" i="8"/>
  <c r="L1520" i="8"/>
  <c r="K1520" i="8"/>
  <c r="M1511" i="8"/>
  <c r="L1511" i="8"/>
  <c r="K1511" i="8"/>
  <c r="M1502" i="8"/>
  <c r="L1502" i="8"/>
  <c r="K1502" i="8"/>
  <c r="M1493" i="8"/>
  <c r="L1493" i="8"/>
  <c r="K1493" i="8"/>
  <c r="M1484" i="8"/>
  <c r="L1484" i="8"/>
  <c r="K1484" i="8"/>
  <c r="M1475" i="8"/>
  <c r="L1475" i="8"/>
  <c r="K1475" i="8"/>
  <c r="M1466" i="8"/>
  <c r="L1466" i="8"/>
  <c r="K1466" i="8"/>
  <c r="M1457" i="8"/>
  <c r="L1457" i="8"/>
  <c r="K1457" i="8"/>
  <c r="M1448" i="8"/>
  <c r="L1448" i="8"/>
  <c r="K1448" i="8"/>
  <c r="M1439" i="8"/>
  <c r="L1439" i="8"/>
  <c r="K1439" i="8"/>
  <c r="M1430" i="8"/>
  <c r="L1430" i="8"/>
  <c r="K1430" i="8"/>
  <c r="M1421" i="8"/>
  <c r="L1421" i="8"/>
  <c r="K1421" i="8"/>
  <c r="M1412" i="8"/>
  <c r="L1412" i="8"/>
  <c r="K1412" i="8"/>
  <c r="M1403" i="8"/>
  <c r="L1403" i="8"/>
  <c r="K1403" i="8"/>
  <c r="M1394" i="8"/>
  <c r="L1394" i="8"/>
  <c r="K1394" i="8"/>
  <c r="M1385" i="8"/>
  <c r="L1385" i="8"/>
  <c r="K1385" i="8"/>
  <c r="M1376" i="8"/>
  <c r="L1376" i="8"/>
  <c r="K1376" i="8"/>
  <c r="M1367" i="8"/>
  <c r="L1367" i="8"/>
  <c r="K1367" i="8"/>
  <c r="M1358" i="8"/>
  <c r="L1358" i="8"/>
  <c r="K1358" i="8"/>
  <c r="M1349" i="8"/>
  <c r="L1349" i="8"/>
  <c r="K1349" i="8"/>
  <c r="M1340" i="8"/>
  <c r="L1340" i="8"/>
  <c r="K1340" i="8"/>
  <c r="M1555" i="8"/>
  <c r="L1555" i="8"/>
  <c r="K1555" i="8"/>
  <c r="M1546" i="8"/>
  <c r="L1546" i="8"/>
  <c r="K1546" i="8"/>
  <c r="M1537" i="8"/>
  <c r="L1537" i="8"/>
  <c r="K1537" i="8"/>
  <c r="M1528" i="8"/>
  <c r="L1528" i="8"/>
  <c r="K1528" i="8"/>
  <c r="M1519" i="8"/>
  <c r="L1519" i="8"/>
  <c r="K1519" i="8"/>
  <c r="M1510" i="8"/>
  <c r="L1510" i="8"/>
  <c r="K1510" i="8"/>
  <c r="M1501" i="8"/>
  <c r="L1501" i="8"/>
  <c r="K1501" i="8"/>
  <c r="M1492" i="8"/>
  <c r="L1492" i="8"/>
  <c r="K1492" i="8"/>
  <c r="M1483" i="8"/>
  <c r="L1483" i="8"/>
  <c r="K1483" i="8"/>
  <c r="M1474" i="8"/>
  <c r="L1474" i="8"/>
  <c r="K1474" i="8"/>
  <c r="M1465" i="8"/>
  <c r="L1465" i="8"/>
  <c r="K1465" i="8"/>
  <c r="M1456" i="8"/>
  <c r="L1456" i="8"/>
  <c r="K1456" i="8"/>
  <c r="M1447" i="8"/>
  <c r="L1447" i="8"/>
  <c r="K1447" i="8"/>
  <c r="M1438" i="8"/>
  <c r="L1438" i="8"/>
  <c r="K1438" i="8"/>
  <c r="M1429" i="8"/>
  <c r="L1429" i="8"/>
  <c r="K1429" i="8"/>
  <c r="M1420" i="8"/>
  <c r="L1420" i="8"/>
  <c r="K1420" i="8"/>
  <c r="M1411" i="8"/>
  <c r="L1411" i="8"/>
  <c r="K1411" i="8"/>
  <c r="M1402" i="8"/>
  <c r="L1402" i="8"/>
  <c r="K1402" i="8"/>
  <c r="M1393" i="8"/>
  <c r="L1393" i="8"/>
  <c r="K1393" i="8"/>
  <c r="M1384" i="8"/>
  <c r="L1384" i="8"/>
  <c r="K1384" i="8"/>
  <c r="M1375" i="8"/>
  <c r="L1375" i="8"/>
  <c r="K1375" i="8"/>
  <c r="M1366" i="8"/>
  <c r="L1366" i="8"/>
  <c r="K1366" i="8"/>
  <c r="M1357" i="8"/>
  <c r="L1357" i="8"/>
  <c r="K1357" i="8"/>
  <c r="M1348" i="8"/>
  <c r="L1348" i="8"/>
  <c r="K1348" i="8"/>
  <c r="M1339" i="8"/>
  <c r="L1339" i="8"/>
  <c r="K1339" i="8"/>
  <c r="M1554" i="8"/>
  <c r="L1554" i="8"/>
  <c r="K1554" i="8"/>
  <c r="M1545" i="8"/>
  <c r="L1545" i="8"/>
  <c r="K1545" i="8"/>
  <c r="M1536" i="8"/>
  <c r="L1536" i="8"/>
  <c r="K1536" i="8"/>
  <c r="M1527" i="8"/>
  <c r="L1527" i="8"/>
  <c r="K1527" i="8"/>
  <c r="M1518" i="8"/>
  <c r="L1518" i="8"/>
  <c r="K1518" i="8"/>
  <c r="M1509" i="8"/>
  <c r="L1509" i="8"/>
  <c r="K1509" i="8"/>
  <c r="M1500" i="8"/>
  <c r="L1500" i="8"/>
  <c r="K1500" i="8"/>
  <c r="M1491" i="8"/>
  <c r="L1491" i="8"/>
  <c r="K1491" i="8"/>
  <c r="M1482" i="8"/>
  <c r="L1482" i="8"/>
  <c r="K1482" i="8"/>
  <c r="M1473" i="8"/>
  <c r="L1473" i="8"/>
  <c r="K1473" i="8"/>
  <c r="M1464" i="8"/>
  <c r="L1464" i="8"/>
  <c r="K1464" i="8"/>
  <c r="M1455" i="8"/>
  <c r="L1455" i="8"/>
  <c r="K1455" i="8"/>
  <c r="M1446" i="8"/>
  <c r="L1446" i="8"/>
  <c r="K1446" i="8"/>
  <c r="M1437" i="8"/>
  <c r="L1437" i="8"/>
  <c r="K1437" i="8"/>
  <c r="M1428" i="8"/>
  <c r="L1428" i="8"/>
  <c r="K1428" i="8"/>
  <c r="M1419" i="8"/>
  <c r="L1419" i="8"/>
  <c r="K1419" i="8"/>
  <c r="M1410" i="8"/>
  <c r="L1410" i="8"/>
  <c r="K1410" i="8"/>
  <c r="M1401" i="8"/>
  <c r="L1401" i="8"/>
  <c r="K1401" i="8"/>
  <c r="M1392" i="8"/>
  <c r="L1392" i="8"/>
  <c r="K1392" i="8"/>
  <c r="M1383" i="8"/>
  <c r="L1383" i="8"/>
  <c r="K1383" i="8"/>
  <c r="M1374" i="8"/>
  <c r="L1374" i="8"/>
  <c r="K1374" i="8"/>
  <c r="M1365" i="8"/>
  <c r="L1365" i="8"/>
  <c r="K1365" i="8"/>
  <c r="M1356" i="8"/>
  <c r="L1356" i="8"/>
  <c r="K1356" i="8"/>
  <c r="M1347" i="8"/>
  <c r="L1347" i="8"/>
  <c r="K1347" i="8"/>
  <c r="M1338" i="8"/>
  <c r="L1338" i="8"/>
  <c r="K1338" i="8"/>
  <c r="M1553" i="8"/>
  <c r="L1553" i="8"/>
  <c r="K1553" i="8"/>
  <c r="M1544" i="8"/>
  <c r="L1544" i="8"/>
  <c r="K1544" i="8"/>
  <c r="M1535" i="8"/>
  <c r="L1535" i="8"/>
  <c r="K1535" i="8"/>
  <c r="M1526" i="8"/>
  <c r="L1526" i="8"/>
  <c r="K1526" i="8"/>
  <c r="M1517" i="8"/>
  <c r="L1517" i="8"/>
  <c r="K1517" i="8"/>
  <c r="M1508" i="8"/>
  <c r="L1508" i="8"/>
  <c r="K1508" i="8"/>
  <c r="M1499" i="8"/>
  <c r="L1499" i="8"/>
  <c r="K1499" i="8"/>
  <c r="M1490" i="8"/>
  <c r="L1490" i="8"/>
  <c r="K1490" i="8"/>
  <c r="M1481" i="8"/>
  <c r="L1481" i="8"/>
  <c r="K1481" i="8"/>
  <c r="M1472" i="8"/>
  <c r="L1472" i="8"/>
  <c r="K1472" i="8"/>
  <c r="M1463" i="8"/>
  <c r="L1463" i="8"/>
  <c r="K1463" i="8"/>
  <c r="M1454" i="8"/>
  <c r="L1454" i="8"/>
  <c r="K1454" i="8"/>
  <c r="M1445" i="8"/>
  <c r="L1445" i="8"/>
  <c r="K1445" i="8"/>
  <c r="M1436" i="8"/>
  <c r="L1436" i="8"/>
  <c r="K1436" i="8"/>
  <c r="M1427" i="8"/>
  <c r="L1427" i="8"/>
  <c r="K1427" i="8"/>
  <c r="M1418" i="8"/>
  <c r="L1418" i="8"/>
  <c r="K1418" i="8"/>
  <c r="M1409" i="8"/>
  <c r="L1409" i="8"/>
  <c r="K1409" i="8"/>
  <c r="M1400" i="8"/>
  <c r="L1400" i="8"/>
  <c r="K1400" i="8"/>
  <c r="M1391" i="8"/>
  <c r="L1391" i="8"/>
  <c r="K1391" i="8"/>
  <c r="M1382" i="8"/>
  <c r="L1382" i="8"/>
  <c r="K1382" i="8"/>
  <c r="M1373" i="8"/>
  <c r="L1373" i="8"/>
  <c r="K1373" i="8"/>
  <c r="M1364" i="8"/>
  <c r="L1364" i="8"/>
  <c r="K1364" i="8"/>
  <c r="M1355" i="8"/>
  <c r="L1355" i="8"/>
  <c r="K1355" i="8"/>
  <c r="M1346" i="8"/>
  <c r="L1346" i="8"/>
  <c r="K1346" i="8"/>
  <c r="M1337" i="8"/>
  <c r="L1337" i="8"/>
  <c r="K1337" i="8"/>
  <c r="M1552" i="8"/>
  <c r="L1552" i="8"/>
  <c r="K1552" i="8"/>
  <c r="M1543" i="8"/>
  <c r="L1543" i="8"/>
  <c r="K1543" i="8"/>
  <c r="M1534" i="8"/>
  <c r="L1534" i="8"/>
  <c r="K1534" i="8"/>
  <c r="M1525" i="8"/>
  <c r="L1525" i="8"/>
  <c r="K1525" i="8"/>
  <c r="M1516" i="8"/>
  <c r="L1516" i="8"/>
  <c r="K1516" i="8"/>
  <c r="M1507" i="8"/>
  <c r="L1507" i="8"/>
  <c r="K1507" i="8"/>
  <c r="M1498" i="8"/>
  <c r="L1498" i="8"/>
  <c r="K1498" i="8"/>
  <c r="M1489" i="8"/>
  <c r="L1489" i="8"/>
  <c r="K1489" i="8"/>
  <c r="M1480" i="8"/>
  <c r="L1480" i="8"/>
  <c r="K1480" i="8"/>
  <c r="M1471" i="8"/>
  <c r="L1471" i="8"/>
  <c r="K1471" i="8"/>
  <c r="M1462" i="8"/>
  <c r="L1462" i="8"/>
  <c r="K1462" i="8"/>
  <c r="M1453" i="8"/>
  <c r="L1453" i="8"/>
  <c r="K1453" i="8"/>
  <c r="M1444" i="8"/>
  <c r="L1444" i="8"/>
  <c r="K1444" i="8"/>
  <c r="M1435" i="8"/>
  <c r="L1435" i="8"/>
  <c r="K1435" i="8"/>
  <c r="M1426" i="8"/>
  <c r="L1426" i="8"/>
  <c r="K1426" i="8"/>
  <c r="M1417" i="8"/>
  <c r="L1417" i="8"/>
  <c r="K1417" i="8"/>
  <c r="M1408" i="8"/>
  <c r="L1408" i="8"/>
  <c r="K1408" i="8"/>
  <c r="M1399" i="8"/>
  <c r="L1399" i="8"/>
  <c r="K1399" i="8"/>
  <c r="M1390" i="8"/>
  <c r="L1390" i="8"/>
  <c r="K1390" i="8"/>
  <c r="M1381" i="8"/>
  <c r="L1381" i="8"/>
  <c r="K1381" i="8"/>
  <c r="M1372" i="8"/>
  <c r="L1372" i="8"/>
  <c r="K1372" i="8"/>
  <c r="M1363" i="8"/>
  <c r="L1363" i="8"/>
  <c r="K1363" i="8"/>
  <c r="M1354" i="8"/>
  <c r="L1354" i="8"/>
  <c r="K1354" i="8"/>
  <c r="M1345" i="8"/>
  <c r="L1345" i="8"/>
  <c r="K1345" i="8"/>
  <c r="M1336" i="8"/>
  <c r="L1336" i="8"/>
  <c r="K1336" i="8"/>
  <c r="M1551" i="8"/>
  <c r="L1551" i="8"/>
  <c r="K1551" i="8"/>
  <c r="M1542" i="8"/>
  <c r="L1542" i="8"/>
  <c r="K1542" i="8"/>
  <c r="M1533" i="8"/>
  <c r="L1533" i="8"/>
  <c r="K1533" i="8"/>
  <c r="M1524" i="8"/>
  <c r="L1524" i="8"/>
  <c r="K1524" i="8"/>
  <c r="M1515" i="8"/>
  <c r="L1515" i="8"/>
  <c r="K1515" i="8"/>
  <c r="M1506" i="8"/>
  <c r="L1506" i="8"/>
  <c r="K1506" i="8"/>
  <c r="M1497" i="8"/>
  <c r="L1497" i="8"/>
  <c r="K1497" i="8"/>
  <c r="M1488" i="8"/>
  <c r="L1488" i="8"/>
  <c r="K1488" i="8"/>
  <c r="M1479" i="8"/>
  <c r="L1479" i="8"/>
  <c r="K1479" i="8"/>
  <c r="M1470" i="8"/>
  <c r="L1470" i="8"/>
  <c r="K1470" i="8"/>
  <c r="M1461" i="8"/>
  <c r="L1461" i="8"/>
  <c r="K1461" i="8"/>
  <c r="M1452" i="8"/>
  <c r="L1452" i="8"/>
  <c r="K1452" i="8"/>
  <c r="M1443" i="8"/>
  <c r="L1443" i="8"/>
  <c r="K1443" i="8"/>
  <c r="M1434" i="8"/>
  <c r="L1434" i="8"/>
  <c r="K1434" i="8"/>
  <c r="M1425" i="8"/>
  <c r="L1425" i="8"/>
  <c r="K1425" i="8"/>
  <c r="M1416" i="8"/>
  <c r="L1416" i="8"/>
  <c r="K1416" i="8"/>
  <c r="M1407" i="8"/>
  <c r="L1407" i="8"/>
  <c r="K1407" i="8"/>
  <c r="M1398" i="8"/>
  <c r="L1398" i="8"/>
  <c r="K1398" i="8"/>
  <c r="M1389" i="8"/>
  <c r="L1389" i="8"/>
  <c r="K1389" i="8"/>
  <c r="M1380" i="8"/>
  <c r="L1380" i="8"/>
  <c r="K1380" i="8"/>
  <c r="M1371" i="8"/>
  <c r="L1371" i="8"/>
  <c r="K1371" i="8"/>
  <c r="M1362" i="8"/>
  <c r="L1362" i="8"/>
  <c r="K1362" i="8"/>
  <c r="M1353" i="8"/>
  <c r="L1353" i="8"/>
  <c r="K1353" i="8"/>
  <c r="M1344" i="8"/>
  <c r="L1344" i="8"/>
  <c r="K1344" i="8"/>
  <c r="M1335" i="8"/>
  <c r="L1335" i="8"/>
  <c r="K1335" i="8"/>
  <c r="M1058" i="8"/>
  <c r="L1058" i="8"/>
  <c r="K1058" i="8"/>
  <c r="M1049" i="8"/>
  <c r="L1049" i="8"/>
  <c r="K1049" i="8"/>
  <c r="M1040" i="8"/>
  <c r="L1040" i="8"/>
  <c r="K1040" i="8"/>
  <c r="M1031" i="8"/>
  <c r="L1031" i="8"/>
  <c r="K1031" i="8"/>
  <c r="M1022" i="8"/>
  <c r="L1022" i="8"/>
  <c r="K1022" i="8"/>
  <c r="M1013" i="8"/>
  <c r="L1013" i="8"/>
  <c r="K1013" i="8"/>
  <c r="M1004" i="8"/>
  <c r="L1004" i="8"/>
  <c r="K1004" i="8"/>
  <c r="M995" i="8"/>
  <c r="L995" i="8"/>
  <c r="K995" i="8"/>
  <c r="M986" i="8"/>
  <c r="L986" i="8"/>
  <c r="K986" i="8"/>
  <c r="M977" i="8"/>
  <c r="L977" i="8"/>
  <c r="K977" i="8"/>
  <c r="M968" i="8"/>
  <c r="L968" i="8"/>
  <c r="K968" i="8"/>
  <c r="M959" i="8"/>
  <c r="L959" i="8"/>
  <c r="K959" i="8"/>
  <c r="M950" i="8"/>
  <c r="L950" i="8"/>
  <c r="K950" i="8"/>
  <c r="M941" i="8"/>
  <c r="L941" i="8"/>
  <c r="K941" i="8"/>
  <c r="M932" i="8"/>
  <c r="L932" i="8"/>
  <c r="K932" i="8"/>
  <c r="M923" i="8"/>
  <c r="L923" i="8"/>
  <c r="K923" i="8"/>
  <c r="M914" i="8"/>
  <c r="L914" i="8"/>
  <c r="K914" i="8"/>
  <c r="M905" i="8"/>
  <c r="L905" i="8"/>
  <c r="K905" i="8"/>
  <c r="M896" i="8"/>
  <c r="L896" i="8"/>
  <c r="K896" i="8"/>
  <c r="M887" i="8"/>
  <c r="L887" i="8"/>
  <c r="K887" i="8"/>
  <c r="M878" i="8"/>
  <c r="L878" i="8"/>
  <c r="K878" i="8"/>
  <c r="M869" i="8"/>
  <c r="L869" i="8"/>
  <c r="K869" i="8"/>
  <c r="M860" i="8"/>
  <c r="L860" i="8"/>
  <c r="K860" i="8"/>
  <c r="M851" i="8"/>
  <c r="L851" i="8"/>
  <c r="K851" i="8"/>
  <c r="M842" i="8"/>
  <c r="L842" i="8"/>
  <c r="K842" i="8"/>
  <c r="M833" i="8"/>
  <c r="L833" i="8"/>
  <c r="K833" i="8"/>
  <c r="M824" i="8"/>
  <c r="L824" i="8"/>
  <c r="K824" i="8"/>
  <c r="M815" i="8"/>
  <c r="L815" i="8"/>
  <c r="K815" i="8"/>
  <c r="M806" i="8"/>
  <c r="L806" i="8"/>
  <c r="K806" i="8"/>
  <c r="M797" i="8"/>
  <c r="L797" i="8"/>
  <c r="K797" i="8"/>
  <c r="M788" i="8"/>
  <c r="L788" i="8"/>
  <c r="K788" i="8"/>
  <c r="M779" i="8"/>
  <c r="L779" i="8"/>
  <c r="K779" i="8"/>
  <c r="M770" i="8"/>
  <c r="L770" i="8"/>
  <c r="K770" i="8"/>
  <c r="M761" i="8"/>
  <c r="L761" i="8"/>
  <c r="K761" i="8"/>
  <c r="M752" i="8"/>
  <c r="L752" i="8"/>
  <c r="K752" i="8"/>
  <c r="M743" i="8"/>
  <c r="L743" i="8"/>
  <c r="K743" i="8"/>
  <c r="M734" i="8"/>
  <c r="L734" i="8"/>
  <c r="K734" i="8"/>
  <c r="M725" i="8"/>
  <c r="L725" i="8"/>
  <c r="K725" i="8"/>
  <c r="M716" i="8"/>
  <c r="L716" i="8"/>
  <c r="K716" i="8"/>
  <c r="M707" i="8"/>
  <c r="L707" i="8"/>
  <c r="K707" i="8"/>
  <c r="M698" i="8"/>
  <c r="L698" i="8"/>
  <c r="K698" i="8"/>
  <c r="M689" i="8"/>
  <c r="L689" i="8"/>
  <c r="K689" i="8"/>
  <c r="M680" i="8"/>
  <c r="L680" i="8"/>
  <c r="K680" i="8"/>
  <c r="M1064" i="8"/>
  <c r="L1064" i="8"/>
  <c r="K1064" i="8"/>
  <c r="M1055" i="8"/>
  <c r="L1055" i="8"/>
  <c r="K1055" i="8"/>
  <c r="M1046" i="8"/>
  <c r="L1046" i="8"/>
  <c r="K1046" i="8"/>
  <c r="M1037" i="8"/>
  <c r="L1037" i="8"/>
  <c r="K1037" i="8"/>
  <c r="M1028" i="8"/>
  <c r="L1028" i="8"/>
  <c r="K1028" i="8"/>
  <c r="M1019" i="8"/>
  <c r="L1019" i="8"/>
  <c r="K1019" i="8"/>
  <c r="M1010" i="8"/>
  <c r="L1010" i="8"/>
  <c r="K1010" i="8"/>
  <c r="M1001" i="8"/>
  <c r="L1001" i="8"/>
  <c r="K1001" i="8"/>
  <c r="M992" i="8"/>
  <c r="L992" i="8"/>
  <c r="K992" i="8"/>
  <c r="M983" i="8"/>
  <c r="L983" i="8"/>
  <c r="K983" i="8"/>
  <c r="M974" i="8"/>
  <c r="L974" i="8"/>
  <c r="K974" i="8"/>
  <c r="M965" i="8"/>
  <c r="L965" i="8"/>
  <c r="K965" i="8"/>
  <c r="M956" i="8"/>
  <c r="L956" i="8"/>
  <c r="K956" i="8"/>
  <c r="M947" i="8"/>
  <c r="L947" i="8"/>
  <c r="K947" i="8"/>
  <c r="M938" i="8"/>
  <c r="L938" i="8"/>
  <c r="K938" i="8"/>
  <c r="M929" i="8"/>
  <c r="L929" i="8"/>
  <c r="K929" i="8"/>
  <c r="M920" i="8"/>
  <c r="L920" i="8"/>
  <c r="K920" i="8"/>
  <c r="M911" i="8"/>
  <c r="L911" i="8"/>
  <c r="K911" i="8"/>
  <c r="M902" i="8"/>
  <c r="L902" i="8"/>
  <c r="K902" i="8"/>
  <c r="M893" i="8"/>
  <c r="L893" i="8"/>
  <c r="K893" i="8"/>
  <c r="M884" i="8"/>
  <c r="L884" i="8"/>
  <c r="K884" i="8"/>
  <c r="M875" i="8"/>
  <c r="L875" i="8"/>
  <c r="K875" i="8"/>
  <c r="M866" i="8"/>
  <c r="L866" i="8"/>
  <c r="K866" i="8"/>
  <c r="M857" i="8"/>
  <c r="L857" i="8"/>
  <c r="K857" i="8"/>
  <c r="M848" i="8"/>
  <c r="L848" i="8"/>
  <c r="K848" i="8"/>
  <c r="M839" i="8"/>
  <c r="L839" i="8"/>
  <c r="K839" i="8"/>
  <c r="M830" i="8"/>
  <c r="L830" i="8"/>
  <c r="K830" i="8"/>
  <c r="M821" i="8"/>
  <c r="L821" i="8"/>
  <c r="K821" i="8"/>
  <c r="M812" i="8"/>
  <c r="L812" i="8"/>
  <c r="K812" i="8"/>
  <c r="M803" i="8"/>
  <c r="L803" i="8"/>
  <c r="K803" i="8"/>
  <c r="M794" i="8"/>
  <c r="L794" i="8"/>
  <c r="K794" i="8"/>
  <c r="M785" i="8"/>
  <c r="L785" i="8"/>
  <c r="K785" i="8"/>
  <c r="M776" i="8"/>
  <c r="L776" i="8"/>
  <c r="K776" i="8"/>
  <c r="M767" i="8"/>
  <c r="L767" i="8"/>
  <c r="K767" i="8"/>
  <c r="M758" i="8"/>
  <c r="L758" i="8"/>
  <c r="K758" i="8"/>
  <c r="M749" i="8"/>
  <c r="L749" i="8"/>
  <c r="K749" i="8"/>
  <c r="M740" i="8"/>
  <c r="L740" i="8"/>
  <c r="K740" i="8"/>
  <c r="M731" i="8"/>
  <c r="L731" i="8"/>
  <c r="K731" i="8"/>
  <c r="M722" i="8"/>
  <c r="L722" i="8"/>
  <c r="K722" i="8"/>
  <c r="M713" i="8"/>
  <c r="L713" i="8"/>
  <c r="K713" i="8"/>
  <c r="M704" i="8"/>
  <c r="L704" i="8"/>
  <c r="K704" i="8"/>
  <c r="M695" i="8"/>
  <c r="L695" i="8"/>
  <c r="K695" i="8"/>
  <c r="M686" i="8"/>
  <c r="L686" i="8"/>
  <c r="K686" i="8"/>
  <c r="M1061" i="8"/>
  <c r="L1061" i="8"/>
  <c r="K1061" i="8"/>
  <c r="M1052" i="8"/>
  <c r="L1052" i="8"/>
  <c r="K1052" i="8"/>
  <c r="M1043" i="8"/>
  <c r="L1043" i="8"/>
  <c r="K1043" i="8"/>
  <c r="M1034" i="8"/>
  <c r="L1034" i="8"/>
  <c r="K1034" i="8"/>
  <c r="M1025" i="8"/>
  <c r="L1025" i="8"/>
  <c r="K1025" i="8"/>
  <c r="M1016" i="8"/>
  <c r="L1016" i="8"/>
  <c r="K1016" i="8"/>
  <c r="M1007" i="8"/>
  <c r="L1007" i="8"/>
  <c r="K1007" i="8"/>
  <c r="M998" i="8"/>
  <c r="L998" i="8"/>
  <c r="K998" i="8"/>
  <c r="M989" i="8"/>
  <c r="L989" i="8"/>
  <c r="K989" i="8"/>
  <c r="M980" i="8"/>
  <c r="L980" i="8"/>
  <c r="K980" i="8"/>
  <c r="M971" i="8"/>
  <c r="L971" i="8"/>
  <c r="K971" i="8"/>
  <c r="M962" i="8"/>
  <c r="L962" i="8"/>
  <c r="K962" i="8"/>
  <c r="M953" i="8"/>
  <c r="L953" i="8"/>
  <c r="K953" i="8"/>
  <c r="M944" i="8"/>
  <c r="L944" i="8"/>
  <c r="K944" i="8"/>
  <c r="M935" i="8"/>
  <c r="L935" i="8"/>
  <c r="K935" i="8"/>
  <c r="M926" i="8"/>
  <c r="L926" i="8"/>
  <c r="K926" i="8"/>
  <c r="M917" i="8"/>
  <c r="L917" i="8"/>
  <c r="K917" i="8"/>
  <c r="M908" i="8"/>
  <c r="L908" i="8"/>
  <c r="K908" i="8"/>
  <c r="M899" i="8"/>
  <c r="L899" i="8"/>
  <c r="K899" i="8"/>
  <c r="M890" i="8"/>
  <c r="L890" i="8"/>
  <c r="K890" i="8"/>
  <c r="M881" i="8"/>
  <c r="L881" i="8"/>
  <c r="K881" i="8"/>
  <c r="M872" i="8"/>
  <c r="L872" i="8"/>
  <c r="K872" i="8"/>
  <c r="M863" i="8"/>
  <c r="L863" i="8"/>
  <c r="K863" i="8"/>
  <c r="M854" i="8"/>
  <c r="L854" i="8"/>
  <c r="K854" i="8"/>
  <c r="M845" i="8"/>
  <c r="L845" i="8"/>
  <c r="K845" i="8"/>
  <c r="M836" i="8"/>
  <c r="L836" i="8"/>
  <c r="K836" i="8"/>
  <c r="M827" i="8"/>
  <c r="L827" i="8"/>
  <c r="K827" i="8"/>
  <c r="M818" i="8"/>
  <c r="L818" i="8"/>
  <c r="K818" i="8"/>
  <c r="M809" i="8"/>
  <c r="L809" i="8"/>
  <c r="K809" i="8"/>
  <c r="M800" i="8"/>
  <c r="L800" i="8"/>
  <c r="K800" i="8"/>
  <c r="M791" i="8"/>
  <c r="L791" i="8"/>
  <c r="K791" i="8"/>
  <c r="M782" i="8"/>
  <c r="L782" i="8"/>
  <c r="K782" i="8"/>
  <c r="M773" i="8"/>
  <c r="L773" i="8"/>
  <c r="K773" i="8"/>
  <c r="M764" i="8"/>
  <c r="L764" i="8"/>
  <c r="K764" i="8"/>
  <c r="M755" i="8"/>
  <c r="L755" i="8"/>
  <c r="K755" i="8"/>
  <c r="M746" i="8"/>
  <c r="L746" i="8"/>
  <c r="K746" i="8"/>
  <c r="M737" i="8"/>
  <c r="L737" i="8"/>
  <c r="K737" i="8"/>
  <c r="M728" i="8"/>
  <c r="L728" i="8"/>
  <c r="K728" i="8"/>
  <c r="M719" i="8"/>
  <c r="L719" i="8"/>
  <c r="K719" i="8"/>
  <c r="M710" i="8"/>
  <c r="L710" i="8"/>
  <c r="K710" i="8"/>
  <c r="M701" i="8"/>
  <c r="L701" i="8"/>
  <c r="K701" i="8"/>
  <c r="M692" i="8"/>
  <c r="L692" i="8"/>
  <c r="K692" i="8"/>
  <c r="M683" i="8"/>
  <c r="L683" i="8"/>
  <c r="K683" i="8"/>
  <c r="M1057" i="8"/>
  <c r="L1057" i="8"/>
  <c r="K1057" i="8"/>
  <c r="M1048" i="8"/>
  <c r="L1048" i="8"/>
  <c r="K1048" i="8"/>
  <c r="M1039" i="8"/>
  <c r="L1039" i="8"/>
  <c r="K1039" i="8"/>
  <c r="M1030" i="8"/>
  <c r="L1030" i="8"/>
  <c r="K1030" i="8"/>
  <c r="M1021" i="8"/>
  <c r="L1021" i="8"/>
  <c r="K1021" i="8"/>
  <c r="M1012" i="8"/>
  <c r="L1012" i="8"/>
  <c r="K1012" i="8"/>
  <c r="M1003" i="8"/>
  <c r="L1003" i="8"/>
  <c r="K1003" i="8"/>
  <c r="M994" i="8"/>
  <c r="L994" i="8"/>
  <c r="K994" i="8"/>
  <c r="M985" i="8"/>
  <c r="L985" i="8"/>
  <c r="K985" i="8"/>
  <c r="M976" i="8"/>
  <c r="L976" i="8"/>
  <c r="K976" i="8"/>
  <c r="M967" i="8"/>
  <c r="L967" i="8"/>
  <c r="K967" i="8"/>
  <c r="M958" i="8"/>
  <c r="L958" i="8"/>
  <c r="K958" i="8"/>
  <c r="M949" i="8"/>
  <c r="L949" i="8"/>
  <c r="K949" i="8"/>
  <c r="M940" i="8"/>
  <c r="L940" i="8"/>
  <c r="K940" i="8"/>
  <c r="M931" i="8"/>
  <c r="L931" i="8"/>
  <c r="K931" i="8"/>
  <c r="M922" i="8"/>
  <c r="L922" i="8"/>
  <c r="K922" i="8"/>
  <c r="M913" i="8"/>
  <c r="L913" i="8"/>
  <c r="K913" i="8"/>
  <c r="M904" i="8"/>
  <c r="L904" i="8"/>
  <c r="K904" i="8"/>
  <c r="M895" i="8"/>
  <c r="L895" i="8"/>
  <c r="K895" i="8"/>
  <c r="M886" i="8"/>
  <c r="L886" i="8"/>
  <c r="K886" i="8"/>
  <c r="M877" i="8"/>
  <c r="L877" i="8"/>
  <c r="K877" i="8"/>
  <c r="M868" i="8"/>
  <c r="L868" i="8"/>
  <c r="K868" i="8"/>
  <c r="M859" i="8"/>
  <c r="L859" i="8"/>
  <c r="K859" i="8"/>
  <c r="M850" i="8"/>
  <c r="L850" i="8"/>
  <c r="K850" i="8"/>
  <c r="M841" i="8"/>
  <c r="L841" i="8"/>
  <c r="K841" i="8"/>
  <c r="M832" i="8"/>
  <c r="L832" i="8"/>
  <c r="K832" i="8"/>
  <c r="M823" i="8"/>
  <c r="L823" i="8"/>
  <c r="K823" i="8"/>
  <c r="M814" i="8"/>
  <c r="L814" i="8"/>
  <c r="K814" i="8"/>
  <c r="M805" i="8"/>
  <c r="L805" i="8"/>
  <c r="K805" i="8"/>
  <c r="M796" i="8"/>
  <c r="L796" i="8"/>
  <c r="K796" i="8"/>
  <c r="M787" i="8"/>
  <c r="L787" i="8"/>
  <c r="K787" i="8"/>
  <c r="M778" i="8"/>
  <c r="L778" i="8"/>
  <c r="K778" i="8"/>
  <c r="M769" i="8"/>
  <c r="L769" i="8"/>
  <c r="K769" i="8"/>
  <c r="M760" i="8"/>
  <c r="L760" i="8"/>
  <c r="K760" i="8"/>
  <c r="M751" i="8"/>
  <c r="L751" i="8"/>
  <c r="K751" i="8"/>
  <c r="M742" i="8"/>
  <c r="L742" i="8"/>
  <c r="K742" i="8"/>
  <c r="M733" i="8"/>
  <c r="L733" i="8"/>
  <c r="K733" i="8"/>
  <c r="M724" i="8"/>
  <c r="L724" i="8"/>
  <c r="K724" i="8"/>
  <c r="M715" i="8"/>
  <c r="L715" i="8"/>
  <c r="K715" i="8"/>
  <c r="M706" i="8"/>
  <c r="L706" i="8"/>
  <c r="K706" i="8"/>
  <c r="M697" i="8"/>
  <c r="L697" i="8"/>
  <c r="K697" i="8"/>
  <c r="M688" i="8"/>
  <c r="L688" i="8"/>
  <c r="K688" i="8"/>
  <c r="M679" i="8"/>
  <c r="L679" i="8"/>
  <c r="K679" i="8"/>
  <c r="M1063" i="8"/>
  <c r="L1063" i="8"/>
  <c r="K1063" i="8"/>
  <c r="M1054" i="8"/>
  <c r="L1054" i="8"/>
  <c r="K1054" i="8"/>
  <c r="M1045" i="8"/>
  <c r="L1045" i="8"/>
  <c r="K1045" i="8"/>
  <c r="M1036" i="8"/>
  <c r="L1036" i="8"/>
  <c r="K1036" i="8"/>
  <c r="M1027" i="8"/>
  <c r="L1027" i="8"/>
  <c r="K1027" i="8"/>
  <c r="M1018" i="8"/>
  <c r="L1018" i="8"/>
  <c r="K1018" i="8"/>
  <c r="M1009" i="8"/>
  <c r="L1009" i="8"/>
  <c r="K1009" i="8"/>
  <c r="M1000" i="8"/>
  <c r="L1000" i="8"/>
  <c r="K1000" i="8"/>
  <c r="M991" i="8"/>
  <c r="L991" i="8"/>
  <c r="K991" i="8"/>
  <c r="M982" i="8"/>
  <c r="L982" i="8"/>
  <c r="K982" i="8"/>
  <c r="M973" i="8"/>
  <c r="L973" i="8"/>
  <c r="K973" i="8"/>
  <c r="M964" i="8"/>
  <c r="L964" i="8"/>
  <c r="K964" i="8"/>
  <c r="M955" i="8"/>
  <c r="L955" i="8"/>
  <c r="K955" i="8"/>
  <c r="M946" i="8"/>
  <c r="L946" i="8"/>
  <c r="K946" i="8"/>
  <c r="M937" i="8"/>
  <c r="L937" i="8"/>
  <c r="K937" i="8"/>
  <c r="M928" i="8"/>
  <c r="L928" i="8"/>
  <c r="K928" i="8"/>
  <c r="M919" i="8"/>
  <c r="L919" i="8"/>
  <c r="K919" i="8"/>
  <c r="M910" i="8"/>
  <c r="L910" i="8"/>
  <c r="K910" i="8"/>
  <c r="M901" i="8"/>
  <c r="L901" i="8"/>
  <c r="K901" i="8"/>
  <c r="M892" i="8"/>
  <c r="L892" i="8"/>
  <c r="K892" i="8"/>
  <c r="M883" i="8"/>
  <c r="L883" i="8"/>
  <c r="K883" i="8"/>
  <c r="M874" i="8"/>
  <c r="L874" i="8"/>
  <c r="K874" i="8"/>
  <c r="M865" i="8"/>
  <c r="L865" i="8"/>
  <c r="K865" i="8"/>
  <c r="M856" i="8"/>
  <c r="L856" i="8"/>
  <c r="K856" i="8"/>
  <c r="M847" i="8"/>
  <c r="L847" i="8"/>
  <c r="K847" i="8"/>
  <c r="M838" i="8"/>
  <c r="L838" i="8"/>
  <c r="K838" i="8"/>
  <c r="M829" i="8"/>
  <c r="L829" i="8"/>
  <c r="K829" i="8"/>
  <c r="M820" i="8"/>
  <c r="L820" i="8"/>
  <c r="K820" i="8"/>
  <c r="M811" i="8"/>
  <c r="L811" i="8"/>
  <c r="K811" i="8"/>
  <c r="M802" i="8"/>
  <c r="L802" i="8"/>
  <c r="K802" i="8"/>
  <c r="M793" i="8"/>
  <c r="L793" i="8"/>
  <c r="K793" i="8"/>
  <c r="M784" i="8"/>
  <c r="L784" i="8"/>
  <c r="K784" i="8"/>
  <c r="M775" i="8"/>
  <c r="L775" i="8"/>
  <c r="K775" i="8"/>
  <c r="M766" i="8"/>
  <c r="L766" i="8"/>
  <c r="K766" i="8"/>
  <c r="M757" i="8"/>
  <c r="L757" i="8"/>
  <c r="K757" i="8"/>
  <c r="M748" i="8"/>
  <c r="L748" i="8"/>
  <c r="K748" i="8"/>
  <c r="M739" i="8"/>
  <c r="L739" i="8"/>
  <c r="K739" i="8"/>
  <c r="M730" i="8"/>
  <c r="L730" i="8"/>
  <c r="K730" i="8"/>
  <c r="M721" i="8"/>
  <c r="L721" i="8"/>
  <c r="K721" i="8"/>
  <c r="M712" i="8"/>
  <c r="L712" i="8"/>
  <c r="K712" i="8"/>
  <c r="M703" i="8"/>
  <c r="L703" i="8"/>
  <c r="K703" i="8"/>
  <c r="M694" i="8"/>
  <c r="L694" i="8"/>
  <c r="K694" i="8"/>
  <c r="M685" i="8"/>
  <c r="L685" i="8"/>
  <c r="K685" i="8"/>
  <c r="M1060" i="8"/>
  <c r="L1060" i="8"/>
  <c r="K1060" i="8"/>
  <c r="M1051" i="8"/>
  <c r="L1051" i="8"/>
  <c r="K1051" i="8"/>
  <c r="M1042" i="8"/>
  <c r="L1042" i="8"/>
  <c r="K1042" i="8"/>
  <c r="M1033" i="8"/>
  <c r="L1033" i="8"/>
  <c r="K1033" i="8"/>
  <c r="M1024" i="8"/>
  <c r="L1024" i="8"/>
  <c r="K1024" i="8"/>
  <c r="M1015" i="8"/>
  <c r="L1015" i="8"/>
  <c r="K1015" i="8"/>
  <c r="M1006" i="8"/>
  <c r="L1006" i="8"/>
  <c r="K1006" i="8"/>
  <c r="M997" i="8"/>
  <c r="L997" i="8"/>
  <c r="K997" i="8"/>
  <c r="M988" i="8"/>
  <c r="L988" i="8"/>
  <c r="K988" i="8"/>
  <c r="M979" i="8"/>
  <c r="L979" i="8"/>
  <c r="K979" i="8"/>
  <c r="M970" i="8"/>
  <c r="L970" i="8"/>
  <c r="K970" i="8"/>
  <c r="M961" i="8"/>
  <c r="L961" i="8"/>
  <c r="K961" i="8"/>
  <c r="M952" i="8"/>
  <c r="L952" i="8"/>
  <c r="K952" i="8"/>
  <c r="M943" i="8"/>
  <c r="L943" i="8"/>
  <c r="K943" i="8"/>
  <c r="M934" i="8"/>
  <c r="L934" i="8"/>
  <c r="K934" i="8"/>
  <c r="M925" i="8"/>
  <c r="L925" i="8"/>
  <c r="K925" i="8"/>
  <c r="M916" i="8"/>
  <c r="L916" i="8"/>
  <c r="K916" i="8"/>
  <c r="M907" i="8"/>
  <c r="L907" i="8"/>
  <c r="K907" i="8"/>
  <c r="M898" i="8"/>
  <c r="L898" i="8"/>
  <c r="K898" i="8"/>
  <c r="M889" i="8"/>
  <c r="L889" i="8"/>
  <c r="K889" i="8"/>
  <c r="M880" i="8"/>
  <c r="L880" i="8"/>
  <c r="K880" i="8"/>
  <c r="M871" i="8"/>
  <c r="L871" i="8"/>
  <c r="K871" i="8"/>
  <c r="M862" i="8"/>
  <c r="L862" i="8"/>
  <c r="K862" i="8"/>
  <c r="M853" i="8"/>
  <c r="L853" i="8"/>
  <c r="K853" i="8"/>
  <c r="M844" i="8"/>
  <c r="L844" i="8"/>
  <c r="K844" i="8"/>
  <c r="M835" i="8"/>
  <c r="L835" i="8"/>
  <c r="K835" i="8"/>
  <c r="M826" i="8"/>
  <c r="L826" i="8"/>
  <c r="K826" i="8"/>
  <c r="M817" i="8"/>
  <c r="L817" i="8"/>
  <c r="K817" i="8"/>
  <c r="M808" i="8"/>
  <c r="L808" i="8"/>
  <c r="K808" i="8"/>
  <c r="M799" i="8"/>
  <c r="L799" i="8"/>
  <c r="K799" i="8"/>
  <c r="M790" i="8"/>
  <c r="L790" i="8"/>
  <c r="K790" i="8"/>
  <c r="M781" i="8"/>
  <c r="L781" i="8"/>
  <c r="K781" i="8"/>
  <c r="M772" i="8"/>
  <c r="L772" i="8"/>
  <c r="K772" i="8"/>
  <c r="M763" i="8"/>
  <c r="L763" i="8"/>
  <c r="K763" i="8"/>
  <c r="M754" i="8"/>
  <c r="L754" i="8"/>
  <c r="K754" i="8"/>
  <c r="M745" i="8"/>
  <c r="L745" i="8"/>
  <c r="K745" i="8"/>
  <c r="M736" i="8"/>
  <c r="L736" i="8"/>
  <c r="K736" i="8"/>
  <c r="M727" i="8"/>
  <c r="L727" i="8"/>
  <c r="K727" i="8"/>
  <c r="M718" i="8"/>
  <c r="L718" i="8"/>
  <c r="K718" i="8"/>
  <c r="M709" i="8"/>
  <c r="L709" i="8"/>
  <c r="K709" i="8"/>
  <c r="M700" i="8"/>
  <c r="L700" i="8"/>
  <c r="K700" i="8"/>
  <c r="M691" i="8"/>
  <c r="L691" i="8"/>
  <c r="K691" i="8"/>
  <c r="M682" i="8"/>
  <c r="L682" i="8"/>
  <c r="K682" i="8"/>
  <c r="M1056" i="8"/>
  <c r="L1056" i="8"/>
  <c r="K1056" i="8"/>
  <c r="M1047" i="8"/>
  <c r="L1047" i="8"/>
  <c r="K1047" i="8"/>
  <c r="M1038" i="8"/>
  <c r="L1038" i="8"/>
  <c r="K1038" i="8"/>
  <c r="M1029" i="8"/>
  <c r="L1029" i="8"/>
  <c r="K1029" i="8"/>
  <c r="M1020" i="8"/>
  <c r="L1020" i="8"/>
  <c r="K1020" i="8"/>
  <c r="M1011" i="8"/>
  <c r="L1011" i="8"/>
  <c r="K1011" i="8"/>
  <c r="M1002" i="8"/>
  <c r="L1002" i="8"/>
  <c r="K1002" i="8"/>
  <c r="M993" i="8"/>
  <c r="L993" i="8"/>
  <c r="K993" i="8"/>
  <c r="M984" i="8"/>
  <c r="L984" i="8"/>
  <c r="K984" i="8"/>
  <c r="M975" i="8"/>
  <c r="L975" i="8"/>
  <c r="K975" i="8"/>
  <c r="M966" i="8"/>
  <c r="L966" i="8"/>
  <c r="K966" i="8"/>
  <c r="M957" i="8"/>
  <c r="L957" i="8"/>
  <c r="K957" i="8"/>
  <c r="M948" i="8"/>
  <c r="L948" i="8"/>
  <c r="K948" i="8"/>
  <c r="M939" i="8"/>
  <c r="L939" i="8"/>
  <c r="K939" i="8"/>
  <c r="M930" i="8"/>
  <c r="L930" i="8"/>
  <c r="K930" i="8"/>
  <c r="M921" i="8"/>
  <c r="L921" i="8"/>
  <c r="K921" i="8"/>
  <c r="M912" i="8"/>
  <c r="L912" i="8"/>
  <c r="K912" i="8"/>
  <c r="M903" i="8"/>
  <c r="L903" i="8"/>
  <c r="K903" i="8"/>
  <c r="M894" i="8"/>
  <c r="L894" i="8"/>
  <c r="K894" i="8"/>
  <c r="M885" i="8"/>
  <c r="L885" i="8"/>
  <c r="K885" i="8"/>
  <c r="M876" i="8"/>
  <c r="L876" i="8"/>
  <c r="K876" i="8"/>
  <c r="M867" i="8"/>
  <c r="L867" i="8"/>
  <c r="K867" i="8"/>
  <c r="M858" i="8"/>
  <c r="L858" i="8"/>
  <c r="K858" i="8"/>
  <c r="M849" i="8"/>
  <c r="L849" i="8"/>
  <c r="K849" i="8"/>
  <c r="M840" i="8"/>
  <c r="L840" i="8"/>
  <c r="K840" i="8"/>
  <c r="M831" i="8"/>
  <c r="L831" i="8"/>
  <c r="K831" i="8"/>
  <c r="M822" i="8"/>
  <c r="L822" i="8"/>
  <c r="K822" i="8"/>
  <c r="M813" i="8"/>
  <c r="L813" i="8"/>
  <c r="K813" i="8"/>
  <c r="M804" i="8"/>
  <c r="L804" i="8"/>
  <c r="K804" i="8"/>
  <c r="M795" i="8"/>
  <c r="L795" i="8"/>
  <c r="K795" i="8"/>
  <c r="M786" i="8"/>
  <c r="L786" i="8"/>
  <c r="K786" i="8"/>
  <c r="M777" i="8"/>
  <c r="L777" i="8"/>
  <c r="K777" i="8"/>
  <c r="M768" i="8"/>
  <c r="L768" i="8"/>
  <c r="K768" i="8"/>
  <c r="M759" i="8"/>
  <c r="L759" i="8"/>
  <c r="K759" i="8"/>
  <c r="M750" i="8"/>
  <c r="L750" i="8"/>
  <c r="K750" i="8"/>
  <c r="M741" i="8"/>
  <c r="L741" i="8"/>
  <c r="K741" i="8"/>
  <c r="M732" i="8"/>
  <c r="L732" i="8"/>
  <c r="K732" i="8"/>
  <c r="M723" i="8"/>
  <c r="L723" i="8"/>
  <c r="K723" i="8"/>
  <c r="M714" i="8"/>
  <c r="L714" i="8"/>
  <c r="K714" i="8"/>
  <c r="M705" i="8"/>
  <c r="L705" i="8"/>
  <c r="K705" i="8"/>
  <c r="M696" i="8"/>
  <c r="L696" i="8"/>
  <c r="K696" i="8"/>
  <c r="M687" i="8"/>
  <c r="L687" i="8"/>
  <c r="K687" i="8"/>
  <c r="M678" i="8"/>
  <c r="L678" i="8"/>
  <c r="K678" i="8"/>
  <c r="M1062" i="8"/>
  <c r="L1062" i="8"/>
  <c r="K1062" i="8"/>
  <c r="M1053" i="8"/>
  <c r="L1053" i="8"/>
  <c r="K1053" i="8"/>
  <c r="M1044" i="8"/>
  <c r="L1044" i="8"/>
  <c r="K1044" i="8"/>
  <c r="M1035" i="8"/>
  <c r="L1035" i="8"/>
  <c r="K1035" i="8"/>
  <c r="M1026" i="8"/>
  <c r="L1026" i="8"/>
  <c r="K1026" i="8"/>
  <c r="M1017" i="8"/>
  <c r="L1017" i="8"/>
  <c r="K1017" i="8"/>
  <c r="M1008" i="8"/>
  <c r="L1008" i="8"/>
  <c r="K1008" i="8"/>
  <c r="M999" i="8"/>
  <c r="L999" i="8"/>
  <c r="K999" i="8"/>
  <c r="M990" i="8"/>
  <c r="L990" i="8"/>
  <c r="K990" i="8"/>
  <c r="M981" i="8"/>
  <c r="L981" i="8"/>
  <c r="K981" i="8"/>
  <c r="M972" i="8"/>
  <c r="L972" i="8"/>
  <c r="K972" i="8"/>
  <c r="M963" i="8"/>
  <c r="L963" i="8"/>
  <c r="K963" i="8"/>
  <c r="M954" i="8"/>
  <c r="L954" i="8"/>
  <c r="K954" i="8"/>
  <c r="M945" i="8"/>
  <c r="L945" i="8"/>
  <c r="K945" i="8"/>
  <c r="M936" i="8"/>
  <c r="L936" i="8"/>
  <c r="K936" i="8"/>
  <c r="M927" i="8"/>
  <c r="L927" i="8"/>
  <c r="K927" i="8"/>
  <c r="M918" i="8"/>
  <c r="L918" i="8"/>
  <c r="K918" i="8"/>
  <c r="M909" i="8"/>
  <c r="L909" i="8"/>
  <c r="K909" i="8"/>
  <c r="M900" i="8"/>
  <c r="L900" i="8"/>
  <c r="K900" i="8"/>
  <c r="M891" i="8"/>
  <c r="L891" i="8"/>
  <c r="K891" i="8"/>
  <c r="M882" i="8"/>
  <c r="L882" i="8"/>
  <c r="K882" i="8"/>
  <c r="M873" i="8"/>
  <c r="L873" i="8"/>
  <c r="K873" i="8"/>
  <c r="M864" i="8"/>
  <c r="L864" i="8"/>
  <c r="K864" i="8"/>
  <c r="M855" i="8"/>
  <c r="L855" i="8"/>
  <c r="K855" i="8"/>
  <c r="M846" i="8"/>
  <c r="L846" i="8"/>
  <c r="K846" i="8"/>
  <c r="M837" i="8"/>
  <c r="L837" i="8"/>
  <c r="K837" i="8"/>
  <c r="M828" i="8"/>
  <c r="L828" i="8"/>
  <c r="K828" i="8"/>
  <c r="M819" i="8"/>
  <c r="L819" i="8"/>
  <c r="K819" i="8"/>
  <c r="M810" i="8"/>
  <c r="L810" i="8"/>
  <c r="K810" i="8"/>
  <c r="M801" i="8"/>
  <c r="L801" i="8"/>
  <c r="K801" i="8"/>
  <c r="M792" i="8"/>
  <c r="L792" i="8"/>
  <c r="K792" i="8"/>
  <c r="M783" i="8"/>
  <c r="L783" i="8"/>
  <c r="K783" i="8"/>
  <c r="M774" i="8"/>
  <c r="L774" i="8"/>
  <c r="K774" i="8"/>
  <c r="M765" i="8"/>
  <c r="L765" i="8"/>
  <c r="K765" i="8"/>
  <c r="M756" i="8"/>
  <c r="L756" i="8"/>
  <c r="K756" i="8"/>
  <c r="M747" i="8"/>
  <c r="L747" i="8"/>
  <c r="K747" i="8"/>
  <c r="M738" i="8"/>
  <c r="L738" i="8"/>
  <c r="K738" i="8"/>
  <c r="M729" i="8"/>
  <c r="L729" i="8"/>
  <c r="K729" i="8"/>
  <c r="M720" i="8"/>
  <c r="L720" i="8"/>
  <c r="K720" i="8"/>
  <c r="M711" i="8"/>
  <c r="L711" i="8"/>
  <c r="K711" i="8"/>
  <c r="M702" i="8"/>
  <c r="L702" i="8"/>
  <c r="K702" i="8"/>
  <c r="M693" i="8"/>
  <c r="L693" i="8"/>
  <c r="K693" i="8"/>
  <c r="M684" i="8"/>
  <c r="L684" i="8"/>
  <c r="K684" i="8"/>
  <c r="M1059" i="8"/>
  <c r="L1059" i="8"/>
  <c r="K1059" i="8"/>
  <c r="M1050" i="8"/>
  <c r="L1050" i="8"/>
  <c r="K1050" i="8"/>
  <c r="M1041" i="8"/>
  <c r="L1041" i="8"/>
  <c r="K1041" i="8"/>
  <c r="M1032" i="8"/>
  <c r="L1032" i="8"/>
  <c r="K1032" i="8"/>
  <c r="M1023" i="8"/>
  <c r="L1023" i="8"/>
  <c r="K1023" i="8"/>
  <c r="M1014" i="8"/>
  <c r="L1014" i="8"/>
  <c r="K1014" i="8"/>
  <c r="M1005" i="8"/>
  <c r="L1005" i="8"/>
  <c r="K1005" i="8"/>
  <c r="M996" i="8"/>
  <c r="L996" i="8"/>
  <c r="K996" i="8"/>
  <c r="M987" i="8"/>
  <c r="L987" i="8"/>
  <c r="K987" i="8"/>
  <c r="M978" i="8"/>
  <c r="L978" i="8"/>
  <c r="K978" i="8"/>
  <c r="M969" i="8"/>
  <c r="L969" i="8"/>
  <c r="K969" i="8"/>
  <c r="M960" i="8"/>
  <c r="L960" i="8"/>
  <c r="K960" i="8"/>
  <c r="M951" i="8"/>
  <c r="L951" i="8"/>
  <c r="K951" i="8"/>
  <c r="M942" i="8"/>
  <c r="L942" i="8"/>
  <c r="K942" i="8"/>
  <c r="M933" i="8"/>
  <c r="L933" i="8"/>
  <c r="K933" i="8"/>
  <c r="M924" i="8"/>
  <c r="L924" i="8"/>
  <c r="K924" i="8"/>
  <c r="M915" i="8"/>
  <c r="L915" i="8"/>
  <c r="K915" i="8"/>
  <c r="M906" i="8"/>
  <c r="L906" i="8"/>
  <c r="K906" i="8"/>
  <c r="M897" i="8"/>
  <c r="L897" i="8"/>
  <c r="K897" i="8"/>
  <c r="M888" i="8"/>
  <c r="L888" i="8"/>
  <c r="K888" i="8"/>
  <c r="M879" i="8"/>
  <c r="L879" i="8"/>
  <c r="K879" i="8"/>
  <c r="M870" i="8"/>
  <c r="L870" i="8"/>
  <c r="K870" i="8"/>
  <c r="M861" i="8"/>
  <c r="L861" i="8"/>
  <c r="K861" i="8"/>
  <c r="M852" i="8"/>
  <c r="L852" i="8"/>
  <c r="K852" i="8"/>
  <c r="M843" i="8"/>
  <c r="L843" i="8"/>
  <c r="K843" i="8"/>
  <c r="M834" i="8"/>
  <c r="L834" i="8"/>
  <c r="K834" i="8"/>
  <c r="M825" i="8"/>
  <c r="L825" i="8"/>
  <c r="K825" i="8"/>
  <c r="M816" i="8"/>
  <c r="L816" i="8"/>
  <c r="K816" i="8"/>
  <c r="M807" i="8"/>
  <c r="L807" i="8"/>
  <c r="K807" i="8"/>
  <c r="M798" i="8"/>
  <c r="L798" i="8"/>
  <c r="K798" i="8"/>
  <c r="M789" i="8"/>
  <c r="L789" i="8"/>
  <c r="K789" i="8"/>
  <c r="M780" i="8"/>
  <c r="L780" i="8"/>
  <c r="K780" i="8"/>
  <c r="M771" i="8"/>
  <c r="L771" i="8"/>
  <c r="K771" i="8"/>
  <c r="M762" i="8"/>
  <c r="L762" i="8"/>
  <c r="K762" i="8"/>
  <c r="M753" i="8"/>
  <c r="L753" i="8"/>
  <c r="K753" i="8"/>
  <c r="M744" i="8"/>
  <c r="L744" i="8"/>
  <c r="K744" i="8"/>
  <c r="M735" i="8"/>
  <c r="L735" i="8"/>
  <c r="K735" i="8"/>
  <c r="M726" i="8"/>
  <c r="L726" i="8"/>
  <c r="K726" i="8"/>
  <c r="M717" i="8"/>
  <c r="L717" i="8"/>
  <c r="K717" i="8"/>
  <c r="M708" i="8"/>
  <c r="L708" i="8"/>
  <c r="K708" i="8"/>
  <c r="M699" i="8"/>
  <c r="L699" i="8"/>
  <c r="K699" i="8"/>
  <c r="M690" i="8"/>
  <c r="L690" i="8"/>
  <c r="K690" i="8"/>
  <c r="M681" i="8"/>
  <c r="L681" i="8"/>
  <c r="K681" i="8"/>
  <c r="M1328" i="8"/>
  <c r="L1328" i="8"/>
  <c r="K1328" i="8"/>
  <c r="M1319" i="8"/>
  <c r="L1319" i="8"/>
  <c r="K1319" i="8"/>
  <c r="M1310" i="8"/>
  <c r="L1310" i="8"/>
  <c r="K1310" i="8"/>
  <c r="M1301" i="8"/>
  <c r="L1301" i="8"/>
  <c r="K1301" i="8"/>
  <c r="M1292" i="8"/>
  <c r="L1292" i="8"/>
  <c r="K1292" i="8"/>
  <c r="M1283" i="8"/>
  <c r="L1283" i="8"/>
  <c r="K1283" i="8"/>
  <c r="M1274" i="8"/>
  <c r="L1274" i="8"/>
  <c r="K1274" i="8"/>
  <c r="M1265" i="8"/>
  <c r="L1265" i="8"/>
  <c r="K1265" i="8"/>
  <c r="M1256" i="8"/>
  <c r="L1256" i="8"/>
  <c r="K1256" i="8"/>
  <c r="M1247" i="8"/>
  <c r="L1247" i="8"/>
  <c r="K1247" i="8"/>
  <c r="M1238" i="8"/>
  <c r="L1238" i="8"/>
  <c r="K1238" i="8"/>
  <c r="M1229" i="8"/>
  <c r="L1229" i="8"/>
  <c r="K1229" i="8"/>
  <c r="M1220" i="8"/>
  <c r="L1220" i="8"/>
  <c r="K1220" i="8"/>
  <c r="M1211" i="8"/>
  <c r="L1211" i="8"/>
  <c r="K1211" i="8"/>
  <c r="M1202" i="8"/>
  <c r="L1202" i="8"/>
  <c r="K1202" i="8"/>
  <c r="M1193" i="8"/>
  <c r="L1193" i="8"/>
  <c r="K1193" i="8"/>
  <c r="M1184" i="8"/>
  <c r="L1184" i="8"/>
  <c r="K1184" i="8"/>
  <c r="M1175" i="8"/>
  <c r="L1175" i="8"/>
  <c r="K1175" i="8"/>
  <c r="M1166" i="8"/>
  <c r="L1166" i="8"/>
  <c r="K1166" i="8"/>
  <c r="M1157" i="8"/>
  <c r="L1157" i="8"/>
  <c r="K1157" i="8"/>
  <c r="M1148" i="8"/>
  <c r="L1148" i="8"/>
  <c r="K1148" i="8"/>
  <c r="M1139" i="8"/>
  <c r="L1139" i="8"/>
  <c r="K1139" i="8"/>
  <c r="M1130" i="8"/>
  <c r="L1130" i="8"/>
  <c r="K1130" i="8"/>
  <c r="M1121" i="8"/>
  <c r="L1121" i="8"/>
  <c r="K1121" i="8"/>
  <c r="M1112" i="8"/>
  <c r="L1112" i="8"/>
  <c r="K1112" i="8"/>
  <c r="M1103" i="8"/>
  <c r="L1103" i="8"/>
  <c r="K1103" i="8"/>
  <c r="M1094" i="8"/>
  <c r="L1094" i="8"/>
  <c r="K1094" i="8"/>
  <c r="M1085" i="8"/>
  <c r="L1085" i="8"/>
  <c r="K1085" i="8"/>
  <c r="M1076" i="8"/>
  <c r="L1076" i="8"/>
  <c r="K1076" i="8"/>
  <c r="M1067" i="8"/>
  <c r="L1067" i="8"/>
  <c r="K1067" i="8"/>
  <c r="M1334" i="8"/>
  <c r="L1334" i="8"/>
  <c r="K1334" i="8"/>
  <c r="M1325" i="8"/>
  <c r="L1325" i="8"/>
  <c r="K1325" i="8"/>
  <c r="M1316" i="8"/>
  <c r="L1316" i="8"/>
  <c r="K1316" i="8"/>
  <c r="M1307" i="8"/>
  <c r="L1307" i="8"/>
  <c r="K1307" i="8"/>
  <c r="M1298" i="8"/>
  <c r="L1298" i="8"/>
  <c r="K1298" i="8"/>
  <c r="M1289" i="8"/>
  <c r="L1289" i="8"/>
  <c r="K1289" i="8"/>
  <c r="M1280" i="8"/>
  <c r="L1280" i="8"/>
  <c r="K1280" i="8"/>
  <c r="M1271" i="8"/>
  <c r="L1271" i="8"/>
  <c r="K1271" i="8"/>
  <c r="M1262" i="8"/>
  <c r="L1262" i="8"/>
  <c r="K1262" i="8"/>
  <c r="M1253" i="8"/>
  <c r="L1253" i="8"/>
  <c r="K1253" i="8"/>
  <c r="M1244" i="8"/>
  <c r="L1244" i="8"/>
  <c r="K1244" i="8"/>
  <c r="M1235" i="8"/>
  <c r="L1235" i="8"/>
  <c r="K1235" i="8"/>
  <c r="M1226" i="8"/>
  <c r="L1226" i="8"/>
  <c r="K1226" i="8"/>
  <c r="M1217" i="8"/>
  <c r="L1217" i="8"/>
  <c r="K1217" i="8"/>
  <c r="M1208" i="8"/>
  <c r="L1208" i="8"/>
  <c r="K1208" i="8"/>
  <c r="M1199" i="8"/>
  <c r="L1199" i="8"/>
  <c r="K1199" i="8"/>
  <c r="M1190" i="8"/>
  <c r="L1190" i="8"/>
  <c r="K1190" i="8"/>
  <c r="M1181" i="8"/>
  <c r="L1181" i="8"/>
  <c r="K1181" i="8"/>
  <c r="M1172" i="8"/>
  <c r="L1172" i="8"/>
  <c r="K1172" i="8"/>
  <c r="M1163" i="8"/>
  <c r="L1163" i="8"/>
  <c r="K1163" i="8"/>
  <c r="M1154" i="8"/>
  <c r="L1154" i="8"/>
  <c r="K1154" i="8"/>
  <c r="M1145" i="8"/>
  <c r="L1145" i="8"/>
  <c r="K1145" i="8"/>
  <c r="M1136" i="8"/>
  <c r="L1136" i="8"/>
  <c r="K1136" i="8"/>
  <c r="M1127" i="8"/>
  <c r="L1127" i="8"/>
  <c r="K1127" i="8"/>
  <c r="M1118" i="8"/>
  <c r="L1118" i="8"/>
  <c r="K1118" i="8"/>
  <c r="M1109" i="8"/>
  <c r="L1109" i="8"/>
  <c r="K1109" i="8"/>
  <c r="M1100" i="8"/>
  <c r="L1100" i="8"/>
  <c r="K1100" i="8"/>
  <c r="M1091" i="8"/>
  <c r="L1091" i="8"/>
  <c r="K1091" i="8"/>
  <c r="M1082" i="8"/>
  <c r="L1082" i="8"/>
  <c r="K1082" i="8"/>
  <c r="M1073" i="8"/>
  <c r="L1073" i="8"/>
  <c r="K1073" i="8"/>
  <c r="M1331" i="8"/>
  <c r="L1331" i="8"/>
  <c r="K1331" i="8"/>
  <c r="M1322" i="8"/>
  <c r="L1322" i="8"/>
  <c r="K1322" i="8"/>
  <c r="M1313" i="8"/>
  <c r="L1313" i="8"/>
  <c r="K1313" i="8"/>
  <c r="M1304" i="8"/>
  <c r="L1304" i="8"/>
  <c r="K1304" i="8"/>
  <c r="M1295" i="8"/>
  <c r="L1295" i="8"/>
  <c r="K1295" i="8"/>
  <c r="M1286" i="8"/>
  <c r="L1286" i="8"/>
  <c r="K1286" i="8"/>
  <c r="M1277" i="8"/>
  <c r="L1277" i="8"/>
  <c r="K1277" i="8"/>
  <c r="M1268" i="8"/>
  <c r="L1268" i="8"/>
  <c r="K1268" i="8"/>
  <c r="M1259" i="8"/>
  <c r="L1259" i="8"/>
  <c r="K1259" i="8"/>
  <c r="M1250" i="8"/>
  <c r="L1250" i="8"/>
  <c r="K1250" i="8"/>
  <c r="M1241" i="8"/>
  <c r="L1241" i="8"/>
  <c r="K1241" i="8"/>
  <c r="M1232" i="8"/>
  <c r="L1232" i="8"/>
  <c r="K1232" i="8"/>
  <c r="M1223" i="8"/>
  <c r="L1223" i="8"/>
  <c r="K1223" i="8"/>
  <c r="M1214" i="8"/>
  <c r="L1214" i="8"/>
  <c r="K1214" i="8"/>
  <c r="M1205" i="8"/>
  <c r="L1205" i="8"/>
  <c r="K1205" i="8"/>
  <c r="M1196" i="8"/>
  <c r="L1196" i="8"/>
  <c r="K1196" i="8"/>
  <c r="M1187" i="8"/>
  <c r="L1187" i="8"/>
  <c r="K1187" i="8"/>
  <c r="M1178" i="8"/>
  <c r="L1178" i="8"/>
  <c r="K1178" i="8"/>
  <c r="M1169" i="8"/>
  <c r="L1169" i="8"/>
  <c r="K1169" i="8"/>
  <c r="M1160" i="8"/>
  <c r="L1160" i="8"/>
  <c r="K1160" i="8"/>
  <c r="M1151" i="8"/>
  <c r="L1151" i="8"/>
  <c r="K1151" i="8"/>
  <c r="M1142" i="8"/>
  <c r="L1142" i="8"/>
  <c r="K1142" i="8"/>
  <c r="M1133" i="8"/>
  <c r="L1133" i="8"/>
  <c r="K1133" i="8"/>
  <c r="M1124" i="8"/>
  <c r="L1124" i="8"/>
  <c r="K1124" i="8"/>
  <c r="M1115" i="8"/>
  <c r="L1115" i="8"/>
  <c r="K1115" i="8"/>
  <c r="M1106" i="8"/>
  <c r="L1106" i="8"/>
  <c r="K1106" i="8"/>
  <c r="M1097" i="8"/>
  <c r="L1097" i="8"/>
  <c r="K1097" i="8"/>
  <c r="M1088" i="8"/>
  <c r="L1088" i="8"/>
  <c r="K1088" i="8"/>
  <c r="M1079" i="8"/>
  <c r="L1079" i="8"/>
  <c r="K1079" i="8"/>
  <c r="M1070" i="8"/>
  <c r="L1070" i="8"/>
  <c r="K1070" i="8"/>
  <c r="M1327" i="8"/>
  <c r="L1327" i="8"/>
  <c r="K1327" i="8"/>
  <c r="M1318" i="8"/>
  <c r="L1318" i="8"/>
  <c r="K1318" i="8"/>
  <c r="M1309" i="8"/>
  <c r="L1309" i="8"/>
  <c r="K1309" i="8"/>
  <c r="M1300" i="8"/>
  <c r="L1300" i="8"/>
  <c r="K1300" i="8"/>
  <c r="M1291" i="8"/>
  <c r="L1291" i="8"/>
  <c r="K1291" i="8"/>
  <c r="M1282" i="8"/>
  <c r="L1282" i="8"/>
  <c r="K1282" i="8"/>
  <c r="M1273" i="8"/>
  <c r="L1273" i="8"/>
  <c r="K1273" i="8"/>
  <c r="M1264" i="8"/>
  <c r="L1264" i="8"/>
  <c r="K1264" i="8"/>
  <c r="M1255" i="8"/>
  <c r="L1255" i="8"/>
  <c r="K1255" i="8"/>
  <c r="M1246" i="8"/>
  <c r="L1246" i="8"/>
  <c r="K1246" i="8"/>
  <c r="M1237" i="8"/>
  <c r="L1237" i="8"/>
  <c r="K1237" i="8"/>
  <c r="M1228" i="8"/>
  <c r="L1228" i="8"/>
  <c r="K1228" i="8"/>
  <c r="M1219" i="8"/>
  <c r="L1219" i="8"/>
  <c r="K1219" i="8"/>
  <c r="M1210" i="8"/>
  <c r="L1210" i="8"/>
  <c r="K1210" i="8"/>
  <c r="M1201" i="8"/>
  <c r="L1201" i="8"/>
  <c r="K1201" i="8"/>
  <c r="M1192" i="8"/>
  <c r="L1192" i="8"/>
  <c r="K1192" i="8"/>
  <c r="M1183" i="8"/>
  <c r="L1183" i="8"/>
  <c r="K1183" i="8"/>
  <c r="M1174" i="8"/>
  <c r="L1174" i="8"/>
  <c r="K1174" i="8"/>
  <c r="M1165" i="8"/>
  <c r="L1165" i="8"/>
  <c r="K1165" i="8"/>
  <c r="M1156" i="8"/>
  <c r="L1156" i="8"/>
  <c r="K1156" i="8"/>
  <c r="M1147" i="8"/>
  <c r="L1147" i="8"/>
  <c r="K1147" i="8"/>
  <c r="M1138" i="8"/>
  <c r="L1138" i="8"/>
  <c r="K1138" i="8"/>
  <c r="M1129" i="8"/>
  <c r="L1129" i="8"/>
  <c r="K1129" i="8"/>
  <c r="M1120" i="8"/>
  <c r="L1120" i="8"/>
  <c r="K1120" i="8"/>
  <c r="M1111" i="8"/>
  <c r="L1111" i="8"/>
  <c r="K1111" i="8"/>
  <c r="M1102" i="8"/>
  <c r="L1102" i="8"/>
  <c r="K1102" i="8"/>
  <c r="M1093" i="8"/>
  <c r="L1093" i="8"/>
  <c r="K1093" i="8"/>
  <c r="M1084" i="8"/>
  <c r="L1084" i="8"/>
  <c r="K1084" i="8"/>
  <c r="M1075" i="8"/>
  <c r="L1075" i="8"/>
  <c r="K1075" i="8"/>
  <c r="M1066" i="8"/>
  <c r="L1066" i="8"/>
  <c r="K1066" i="8"/>
  <c r="M1333" i="8"/>
  <c r="L1333" i="8"/>
  <c r="K1333" i="8"/>
  <c r="M1324" i="8"/>
  <c r="L1324" i="8"/>
  <c r="K1324" i="8"/>
  <c r="M1315" i="8"/>
  <c r="L1315" i="8"/>
  <c r="K1315" i="8"/>
  <c r="M1306" i="8"/>
  <c r="L1306" i="8"/>
  <c r="K1306" i="8"/>
  <c r="M1297" i="8"/>
  <c r="L1297" i="8"/>
  <c r="K1297" i="8"/>
  <c r="M1288" i="8"/>
  <c r="L1288" i="8"/>
  <c r="K1288" i="8"/>
  <c r="M1279" i="8"/>
  <c r="L1279" i="8"/>
  <c r="K1279" i="8"/>
  <c r="M1270" i="8"/>
  <c r="L1270" i="8"/>
  <c r="K1270" i="8"/>
  <c r="M1261" i="8"/>
  <c r="L1261" i="8"/>
  <c r="K1261" i="8"/>
  <c r="M1252" i="8"/>
  <c r="L1252" i="8"/>
  <c r="K1252" i="8"/>
  <c r="M1243" i="8"/>
  <c r="L1243" i="8"/>
  <c r="K1243" i="8"/>
  <c r="M1234" i="8"/>
  <c r="L1234" i="8"/>
  <c r="K1234" i="8"/>
  <c r="M1225" i="8"/>
  <c r="L1225" i="8"/>
  <c r="K1225" i="8"/>
  <c r="M1216" i="8"/>
  <c r="L1216" i="8"/>
  <c r="K1216" i="8"/>
  <c r="M1207" i="8"/>
  <c r="L1207" i="8"/>
  <c r="K1207" i="8"/>
  <c r="M1198" i="8"/>
  <c r="L1198" i="8"/>
  <c r="K1198" i="8"/>
  <c r="M1189" i="8"/>
  <c r="L1189" i="8"/>
  <c r="K1189" i="8"/>
  <c r="M1180" i="8"/>
  <c r="L1180" i="8"/>
  <c r="K1180" i="8"/>
  <c r="M1171" i="8"/>
  <c r="L1171" i="8"/>
  <c r="K1171" i="8"/>
  <c r="M1162" i="8"/>
  <c r="L1162" i="8"/>
  <c r="K1162" i="8"/>
  <c r="M1153" i="8"/>
  <c r="L1153" i="8"/>
  <c r="K1153" i="8"/>
  <c r="M1144" i="8"/>
  <c r="L1144" i="8"/>
  <c r="K1144" i="8"/>
  <c r="M1135" i="8"/>
  <c r="L1135" i="8"/>
  <c r="K1135" i="8"/>
  <c r="M1126" i="8"/>
  <c r="L1126" i="8"/>
  <c r="K1126" i="8"/>
  <c r="M1117" i="8"/>
  <c r="L1117" i="8"/>
  <c r="K1117" i="8"/>
  <c r="M1108" i="8"/>
  <c r="L1108" i="8"/>
  <c r="K1108" i="8"/>
  <c r="M1099" i="8"/>
  <c r="L1099" i="8"/>
  <c r="K1099" i="8"/>
  <c r="M1090" i="8"/>
  <c r="L1090" i="8"/>
  <c r="K1090" i="8"/>
  <c r="M1081" i="8"/>
  <c r="L1081" i="8"/>
  <c r="K1081" i="8"/>
  <c r="M1072" i="8"/>
  <c r="L1072" i="8"/>
  <c r="K1072" i="8"/>
  <c r="M1330" i="8"/>
  <c r="L1330" i="8"/>
  <c r="K1330" i="8"/>
  <c r="M1321" i="8"/>
  <c r="L1321" i="8"/>
  <c r="K1321" i="8"/>
  <c r="M1312" i="8"/>
  <c r="L1312" i="8"/>
  <c r="K1312" i="8"/>
  <c r="M1303" i="8"/>
  <c r="L1303" i="8"/>
  <c r="K1303" i="8"/>
  <c r="M1294" i="8"/>
  <c r="L1294" i="8"/>
  <c r="K1294" i="8"/>
  <c r="M1285" i="8"/>
  <c r="L1285" i="8"/>
  <c r="K1285" i="8"/>
  <c r="M1276" i="8"/>
  <c r="L1276" i="8"/>
  <c r="K1276" i="8"/>
  <c r="M1267" i="8"/>
  <c r="L1267" i="8"/>
  <c r="K1267" i="8"/>
  <c r="M1258" i="8"/>
  <c r="L1258" i="8"/>
  <c r="K1258" i="8"/>
  <c r="M1249" i="8"/>
  <c r="L1249" i="8"/>
  <c r="K1249" i="8"/>
  <c r="M1240" i="8"/>
  <c r="L1240" i="8"/>
  <c r="K1240" i="8"/>
  <c r="M1231" i="8"/>
  <c r="L1231" i="8"/>
  <c r="K1231" i="8"/>
  <c r="M1222" i="8"/>
  <c r="L1222" i="8"/>
  <c r="K1222" i="8"/>
  <c r="M1213" i="8"/>
  <c r="L1213" i="8"/>
  <c r="K1213" i="8"/>
  <c r="M1204" i="8"/>
  <c r="L1204" i="8"/>
  <c r="K1204" i="8"/>
  <c r="M1195" i="8"/>
  <c r="L1195" i="8"/>
  <c r="K1195" i="8"/>
  <c r="M1186" i="8"/>
  <c r="L1186" i="8"/>
  <c r="K1186" i="8"/>
  <c r="M1177" i="8"/>
  <c r="L1177" i="8"/>
  <c r="K1177" i="8"/>
  <c r="M1168" i="8"/>
  <c r="L1168" i="8"/>
  <c r="K1168" i="8"/>
  <c r="M1159" i="8"/>
  <c r="L1159" i="8"/>
  <c r="K1159" i="8"/>
  <c r="M1150" i="8"/>
  <c r="L1150" i="8"/>
  <c r="K1150" i="8"/>
  <c r="M1141" i="8"/>
  <c r="L1141" i="8"/>
  <c r="K1141" i="8"/>
  <c r="M1132" i="8"/>
  <c r="L1132" i="8"/>
  <c r="K1132" i="8"/>
  <c r="M1123" i="8"/>
  <c r="L1123" i="8"/>
  <c r="K1123" i="8"/>
  <c r="M1114" i="8"/>
  <c r="L1114" i="8"/>
  <c r="K1114" i="8"/>
  <c r="M1105" i="8"/>
  <c r="L1105" i="8"/>
  <c r="K1105" i="8"/>
  <c r="M1096" i="8"/>
  <c r="L1096" i="8"/>
  <c r="K1096" i="8"/>
  <c r="M1087" i="8"/>
  <c r="L1087" i="8"/>
  <c r="K1087" i="8"/>
  <c r="M1078" i="8"/>
  <c r="L1078" i="8"/>
  <c r="K1078" i="8"/>
  <c r="M1069" i="8"/>
  <c r="L1069" i="8"/>
  <c r="K1069" i="8"/>
  <c r="M1326" i="8"/>
  <c r="L1326" i="8"/>
  <c r="K1326" i="8"/>
  <c r="M1317" i="8"/>
  <c r="L1317" i="8"/>
  <c r="K1317" i="8"/>
  <c r="M1308" i="8"/>
  <c r="L1308" i="8"/>
  <c r="K1308" i="8"/>
  <c r="M1299" i="8"/>
  <c r="L1299" i="8"/>
  <c r="K1299" i="8"/>
  <c r="M1290" i="8"/>
  <c r="L1290" i="8"/>
  <c r="K1290" i="8"/>
  <c r="M1281" i="8"/>
  <c r="L1281" i="8"/>
  <c r="K1281" i="8"/>
  <c r="M1272" i="8"/>
  <c r="L1272" i="8"/>
  <c r="K1272" i="8"/>
  <c r="M1263" i="8"/>
  <c r="L1263" i="8"/>
  <c r="K1263" i="8"/>
  <c r="M1254" i="8"/>
  <c r="L1254" i="8"/>
  <c r="K1254" i="8"/>
  <c r="M1245" i="8"/>
  <c r="L1245" i="8"/>
  <c r="K1245" i="8"/>
  <c r="M1236" i="8"/>
  <c r="L1236" i="8"/>
  <c r="K1236" i="8"/>
  <c r="M1227" i="8"/>
  <c r="L1227" i="8"/>
  <c r="K1227" i="8"/>
  <c r="M1218" i="8"/>
  <c r="L1218" i="8"/>
  <c r="K1218" i="8"/>
  <c r="M1209" i="8"/>
  <c r="L1209" i="8"/>
  <c r="K1209" i="8"/>
  <c r="M1200" i="8"/>
  <c r="L1200" i="8"/>
  <c r="K1200" i="8"/>
  <c r="M1191" i="8"/>
  <c r="L1191" i="8"/>
  <c r="K1191" i="8"/>
  <c r="M1182" i="8"/>
  <c r="L1182" i="8"/>
  <c r="K1182" i="8"/>
  <c r="M1173" i="8"/>
  <c r="L1173" i="8"/>
  <c r="K1173" i="8"/>
  <c r="M1164" i="8"/>
  <c r="L1164" i="8"/>
  <c r="K1164" i="8"/>
  <c r="M1155" i="8"/>
  <c r="L1155" i="8"/>
  <c r="K1155" i="8"/>
  <c r="M1146" i="8"/>
  <c r="L1146" i="8"/>
  <c r="K1146" i="8"/>
  <c r="M1137" i="8"/>
  <c r="L1137" i="8"/>
  <c r="K1137" i="8"/>
  <c r="M1128" i="8"/>
  <c r="L1128" i="8"/>
  <c r="K1128" i="8"/>
  <c r="M1119" i="8"/>
  <c r="L1119" i="8"/>
  <c r="K1119" i="8"/>
  <c r="M1110" i="8"/>
  <c r="L1110" i="8"/>
  <c r="K1110" i="8"/>
  <c r="M1101" i="8"/>
  <c r="L1101" i="8"/>
  <c r="K1101" i="8"/>
  <c r="M1092" i="8"/>
  <c r="L1092" i="8"/>
  <c r="K1092" i="8"/>
  <c r="M1083" i="8"/>
  <c r="L1083" i="8"/>
  <c r="K1083" i="8"/>
  <c r="M1074" i="8"/>
  <c r="L1074" i="8"/>
  <c r="K1074" i="8"/>
  <c r="M1065" i="8"/>
  <c r="L1065" i="8"/>
  <c r="K1065" i="8"/>
  <c r="M1332" i="8"/>
  <c r="L1332" i="8"/>
  <c r="K1332" i="8"/>
  <c r="M1323" i="8"/>
  <c r="L1323" i="8"/>
  <c r="K1323" i="8"/>
  <c r="M1314" i="8"/>
  <c r="L1314" i="8"/>
  <c r="K1314" i="8"/>
  <c r="M1305" i="8"/>
  <c r="L1305" i="8"/>
  <c r="K1305" i="8"/>
  <c r="M1296" i="8"/>
  <c r="L1296" i="8"/>
  <c r="K1296" i="8"/>
  <c r="M1287" i="8"/>
  <c r="L1287" i="8"/>
  <c r="K1287" i="8"/>
  <c r="M1278" i="8"/>
  <c r="L1278" i="8"/>
  <c r="K1278" i="8"/>
  <c r="M1269" i="8"/>
  <c r="L1269" i="8"/>
  <c r="K1269" i="8"/>
  <c r="M1260" i="8"/>
  <c r="L1260" i="8"/>
  <c r="K1260" i="8"/>
  <c r="M1251" i="8"/>
  <c r="L1251" i="8"/>
  <c r="K1251" i="8"/>
  <c r="M1242" i="8"/>
  <c r="L1242" i="8"/>
  <c r="K1242" i="8"/>
  <c r="M1233" i="8"/>
  <c r="L1233" i="8"/>
  <c r="K1233" i="8"/>
  <c r="M1224" i="8"/>
  <c r="L1224" i="8"/>
  <c r="K1224" i="8"/>
  <c r="M1215" i="8"/>
  <c r="L1215" i="8"/>
  <c r="K1215" i="8"/>
  <c r="M1206" i="8"/>
  <c r="L1206" i="8"/>
  <c r="K1206" i="8"/>
  <c r="M1197" i="8"/>
  <c r="L1197" i="8"/>
  <c r="K1197" i="8"/>
  <c r="M1188" i="8"/>
  <c r="L1188" i="8"/>
  <c r="K1188" i="8"/>
  <c r="M1179" i="8"/>
  <c r="L1179" i="8"/>
  <c r="K1179" i="8"/>
  <c r="M1170" i="8"/>
  <c r="L1170" i="8"/>
  <c r="K1170" i="8"/>
  <c r="M1161" i="8"/>
  <c r="L1161" i="8"/>
  <c r="K1161" i="8"/>
  <c r="M1152" i="8"/>
  <c r="L1152" i="8"/>
  <c r="K1152" i="8"/>
  <c r="M1143" i="8"/>
  <c r="L1143" i="8"/>
  <c r="K1143" i="8"/>
  <c r="M1134" i="8"/>
  <c r="L1134" i="8"/>
  <c r="K1134" i="8"/>
  <c r="M1125" i="8"/>
  <c r="L1125" i="8"/>
  <c r="K1125" i="8"/>
  <c r="M1116" i="8"/>
  <c r="L1116" i="8"/>
  <c r="K1116" i="8"/>
  <c r="M1107" i="8"/>
  <c r="L1107" i="8"/>
  <c r="K1107" i="8"/>
  <c r="M1098" i="8"/>
  <c r="L1098" i="8"/>
  <c r="K1098" i="8"/>
  <c r="M1089" i="8"/>
  <c r="L1089" i="8"/>
  <c r="K1089" i="8"/>
  <c r="M1080" i="8"/>
  <c r="L1080" i="8"/>
  <c r="K1080" i="8"/>
  <c r="M1071" i="8"/>
  <c r="L1071" i="8"/>
  <c r="K1071" i="8"/>
  <c r="M1329" i="8"/>
  <c r="L1329" i="8"/>
  <c r="K1329" i="8"/>
  <c r="M1320" i="8"/>
  <c r="L1320" i="8"/>
  <c r="K1320" i="8"/>
  <c r="M1311" i="8"/>
  <c r="L1311" i="8"/>
  <c r="K1311" i="8"/>
  <c r="M1302" i="8"/>
  <c r="L1302" i="8"/>
  <c r="K1302" i="8"/>
  <c r="M1293" i="8"/>
  <c r="L1293" i="8"/>
  <c r="K1293" i="8"/>
  <c r="M1284" i="8"/>
  <c r="L1284" i="8"/>
  <c r="K1284" i="8"/>
  <c r="M1275" i="8"/>
  <c r="L1275" i="8"/>
  <c r="K1275" i="8"/>
  <c r="M1266" i="8"/>
  <c r="L1266" i="8"/>
  <c r="K1266" i="8"/>
  <c r="M1257" i="8"/>
  <c r="L1257" i="8"/>
  <c r="K1257" i="8"/>
  <c r="M1248" i="8"/>
  <c r="L1248" i="8"/>
  <c r="K1248" i="8"/>
  <c r="M1239" i="8"/>
  <c r="L1239" i="8"/>
  <c r="K1239" i="8"/>
  <c r="M1230" i="8"/>
  <c r="L1230" i="8"/>
  <c r="K1230" i="8"/>
  <c r="M1221" i="8"/>
  <c r="L1221" i="8"/>
  <c r="K1221" i="8"/>
  <c r="M1212" i="8"/>
  <c r="L1212" i="8"/>
  <c r="K1212" i="8"/>
  <c r="M1203" i="8"/>
  <c r="L1203" i="8"/>
  <c r="K1203" i="8"/>
  <c r="M1194" i="8"/>
  <c r="L1194" i="8"/>
  <c r="K1194" i="8"/>
  <c r="M1185" i="8"/>
  <c r="L1185" i="8"/>
  <c r="K1185" i="8"/>
  <c r="M1176" i="8"/>
  <c r="L1176" i="8"/>
  <c r="K1176" i="8"/>
  <c r="M1167" i="8"/>
  <c r="L1167" i="8"/>
  <c r="K1167" i="8"/>
  <c r="M1158" i="8"/>
  <c r="L1158" i="8"/>
  <c r="K1158" i="8"/>
  <c r="M1149" i="8"/>
  <c r="L1149" i="8"/>
  <c r="K1149" i="8"/>
  <c r="M1140" i="8"/>
  <c r="L1140" i="8"/>
  <c r="K1140" i="8"/>
  <c r="M1131" i="8"/>
  <c r="L1131" i="8"/>
  <c r="K1131" i="8"/>
  <c r="M1122" i="8"/>
  <c r="L1122" i="8"/>
  <c r="K1122" i="8"/>
  <c r="M1113" i="8"/>
  <c r="L1113" i="8"/>
  <c r="K1113" i="8"/>
  <c r="M1104" i="8"/>
  <c r="L1104" i="8"/>
  <c r="K1104" i="8"/>
  <c r="M1095" i="8"/>
  <c r="L1095" i="8"/>
  <c r="K1095" i="8"/>
  <c r="M1086" i="8"/>
  <c r="L1086" i="8"/>
  <c r="K1086" i="8"/>
  <c r="M1077" i="8"/>
  <c r="L1077" i="8"/>
  <c r="K1077" i="8"/>
  <c r="M1068" i="8"/>
  <c r="L1068" i="8"/>
  <c r="K1068" i="8"/>
  <c r="M677" i="8"/>
  <c r="L677" i="8"/>
  <c r="K677" i="8"/>
  <c r="M674" i="8"/>
  <c r="L674" i="8"/>
  <c r="K674" i="8"/>
  <c r="M671" i="8"/>
  <c r="L671" i="8"/>
  <c r="K671" i="8"/>
  <c r="M676" i="8"/>
  <c r="L676" i="8"/>
  <c r="K676" i="8"/>
  <c r="M673" i="8"/>
  <c r="L673" i="8"/>
  <c r="K673" i="8"/>
  <c r="M670" i="8"/>
  <c r="L670" i="8"/>
  <c r="K670" i="8"/>
  <c r="M675" i="8"/>
  <c r="L675" i="8"/>
  <c r="K675" i="8"/>
  <c r="M672" i="8"/>
  <c r="L672" i="8"/>
  <c r="K672" i="8"/>
  <c r="M669" i="8"/>
  <c r="L669" i="8"/>
  <c r="K669" i="8"/>
  <c r="M668" i="8"/>
  <c r="L668" i="8"/>
  <c r="K668" i="8"/>
  <c r="M665" i="8"/>
  <c r="L665" i="8"/>
  <c r="K665" i="8"/>
  <c r="M662" i="8"/>
  <c r="L662" i="8"/>
  <c r="K662" i="8"/>
  <c r="M667" i="8"/>
  <c r="L667" i="8"/>
  <c r="K667" i="8"/>
  <c r="M664" i="8"/>
  <c r="L664" i="8"/>
  <c r="K664" i="8"/>
  <c r="M661" i="8"/>
  <c r="L661" i="8"/>
  <c r="K661" i="8"/>
  <c r="M666" i="8"/>
  <c r="L666" i="8"/>
  <c r="K666" i="8"/>
  <c r="M663" i="8"/>
  <c r="L663" i="8"/>
  <c r="K663" i="8"/>
  <c r="M660" i="8"/>
  <c r="L660" i="8"/>
  <c r="K660" i="8"/>
  <c r="M659" i="8"/>
  <c r="L659" i="8"/>
  <c r="K659" i="8"/>
  <c r="M656" i="8"/>
  <c r="L656" i="8"/>
  <c r="K656" i="8"/>
  <c r="M653" i="8"/>
  <c r="L653" i="8"/>
  <c r="K653" i="8"/>
  <c r="M658" i="8"/>
  <c r="L658" i="8"/>
  <c r="K658" i="8"/>
  <c r="M655" i="8"/>
  <c r="L655" i="8"/>
  <c r="K655" i="8"/>
  <c r="M652" i="8"/>
  <c r="L652" i="8"/>
  <c r="K652" i="8"/>
  <c r="M657" i="8"/>
  <c r="L657" i="8"/>
  <c r="K657" i="8"/>
  <c r="M654" i="8"/>
  <c r="L654" i="8"/>
  <c r="K654" i="8"/>
  <c r="M651" i="8"/>
  <c r="L651" i="8"/>
  <c r="K651" i="8"/>
  <c r="M650" i="8"/>
  <c r="L650" i="8"/>
  <c r="K650" i="8"/>
  <c r="M647" i="8"/>
  <c r="L647" i="8"/>
  <c r="K647" i="8"/>
  <c r="M644" i="8"/>
  <c r="L644" i="8"/>
  <c r="K644" i="8"/>
  <c r="M649" i="8"/>
  <c r="L649" i="8"/>
  <c r="K649" i="8"/>
  <c r="M646" i="8"/>
  <c r="L646" i="8"/>
  <c r="K646" i="8"/>
  <c r="M643" i="8"/>
  <c r="L643" i="8"/>
  <c r="K643" i="8"/>
  <c r="M648" i="8"/>
  <c r="L648" i="8"/>
  <c r="K648" i="8"/>
  <c r="M645" i="8"/>
  <c r="L645" i="8"/>
  <c r="K645" i="8"/>
  <c r="M642" i="8"/>
  <c r="L642" i="8"/>
  <c r="K642" i="8"/>
  <c r="M641" i="8"/>
  <c r="L641" i="8"/>
  <c r="K641" i="8"/>
  <c r="M638" i="8"/>
  <c r="L638" i="8"/>
  <c r="K638" i="8"/>
  <c r="M635" i="8"/>
  <c r="L635" i="8"/>
  <c r="K635" i="8"/>
  <c r="M640" i="8"/>
  <c r="L640" i="8"/>
  <c r="K640" i="8"/>
  <c r="M637" i="8"/>
  <c r="L637" i="8"/>
  <c r="K637" i="8"/>
  <c r="M634" i="8"/>
  <c r="L634" i="8"/>
  <c r="K634" i="8"/>
  <c r="M639" i="8"/>
  <c r="L639" i="8"/>
  <c r="K639" i="8"/>
  <c r="M636" i="8"/>
  <c r="L636" i="8"/>
  <c r="K636" i="8"/>
  <c r="M633" i="8"/>
  <c r="L633" i="8"/>
  <c r="K633" i="8"/>
  <c r="M632" i="8"/>
  <c r="L632" i="8"/>
  <c r="K632" i="8"/>
  <c r="M629" i="8"/>
  <c r="L629" i="8"/>
  <c r="K629" i="8"/>
  <c r="M626" i="8"/>
  <c r="L626" i="8"/>
  <c r="K626" i="8"/>
  <c r="M631" i="8"/>
  <c r="L631" i="8"/>
  <c r="K631" i="8"/>
  <c r="M628" i="8"/>
  <c r="L628" i="8"/>
  <c r="K628" i="8"/>
  <c r="M625" i="8"/>
  <c r="L625" i="8"/>
  <c r="K625" i="8"/>
  <c r="M630" i="8"/>
  <c r="L630" i="8"/>
  <c r="K630" i="8"/>
  <c r="M627" i="8"/>
  <c r="L627" i="8"/>
  <c r="K627" i="8"/>
  <c r="M624" i="8"/>
  <c r="L624" i="8"/>
  <c r="K624" i="8"/>
  <c r="M623" i="8"/>
  <c r="L623" i="8"/>
  <c r="K623" i="8"/>
  <c r="M620" i="8"/>
  <c r="L620" i="8"/>
  <c r="K620" i="8"/>
  <c r="M617" i="8"/>
  <c r="L617" i="8"/>
  <c r="K617" i="8"/>
  <c r="M622" i="8"/>
  <c r="L622" i="8"/>
  <c r="K622" i="8"/>
  <c r="M619" i="8"/>
  <c r="L619" i="8"/>
  <c r="K619" i="8"/>
  <c r="M616" i="8"/>
  <c r="L616" i="8"/>
  <c r="K616" i="8"/>
  <c r="M621" i="8"/>
  <c r="L621" i="8"/>
  <c r="K621" i="8"/>
  <c r="M618" i="8"/>
  <c r="L618" i="8"/>
  <c r="K618" i="8"/>
  <c r="M615" i="8"/>
  <c r="L615" i="8"/>
  <c r="K615" i="8"/>
  <c r="M614" i="8"/>
  <c r="L614" i="8"/>
  <c r="K614" i="8"/>
  <c r="M611" i="8"/>
  <c r="L611" i="8"/>
  <c r="K611" i="8"/>
  <c r="M608" i="8"/>
  <c r="L608" i="8"/>
  <c r="K608" i="8"/>
  <c r="M613" i="8"/>
  <c r="L613" i="8"/>
  <c r="K613" i="8"/>
  <c r="M610" i="8"/>
  <c r="L610" i="8"/>
  <c r="K610" i="8"/>
  <c r="M607" i="8"/>
  <c r="L607" i="8"/>
  <c r="K607" i="8"/>
  <c r="M612" i="8"/>
  <c r="L612" i="8"/>
  <c r="K612" i="8"/>
  <c r="M609" i="8"/>
  <c r="L609" i="8"/>
  <c r="K609" i="8"/>
  <c r="M606" i="8"/>
  <c r="L606" i="8"/>
  <c r="K606" i="8"/>
  <c r="M605" i="8"/>
  <c r="L605" i="8"/>
  <c r="K605" i="8"/>
  <c r="M602" i="8"/>
  <c r="L602" i="8"/>
  <c r="K602" i="8"/>
  <c r="M599" i="8"/>
  <c r="L599" i="8"/>
  <c r="K599" i="8"/>
  <c r="M604" i="8"/>
  <c r="L604" i="8"/>
  <c r="K604" i="8"/>
  <c r="M601" i="8"/>
  <c r="L601" i="8"/>
  <c r="K601" i="8"/>
  <c r="M598" i="8"/>
  <c r="L598" i="8"/>
  <c r="K598" i="8"/>
  <c r="M603" i="8"/>
  <c r="L603" i="8"/>
  <c r="K603" i="8"/>
  <c r="M600" i="8"/>
  <c r="L600" i="8"/>
  <c r="K600" i="8"/>
  <c r="M597" i="8"/>
  <c r="L597" i="8"/>
  <c r="K597" i="8"/>
  <c r="M596" i="8"/>
  <c r="L596" i="8"/>
  <c r="K596" i="8"/>
  <c r="M593" i="8"/>
  <c r="L593" i="8"/>
  <c r="K593" i="8"/>
  <c r="M590" i="8"/>
  <c r="L590" i="8"/>
  <c r="K590" i="8"/>
  <c r="M595" i="8"/>
  <c r="L595" i="8"/>
  <c r="K595" i="8"/>
  <c r="M592" i="8"/>
  <c r="L592" i="8"/>
  <c r="K592" i="8"/>
  <c r="M589" i="8"/>
  <c r="L589" i="8"/>
  <c r="K589" i="8"/>
  <c r="M594" i="8"/>
  <c r="L594" i="8"/>
  <c r="K594" i="8"/>
  <c r="M591" i="8"/>
  <c r="L591" i="8"/>
  <c r="K591" i="8"/>
  <c r="M588" i="8"/>
  <c r="L588" i="8"/>
  <c r="K588" i="8"/>
  <c r="M587" i="8"/>
  <c r="L587" i="8"/>
  <c r="K587" i="8"/>
  <c r="M584" i="8"/>
  <c r="L584" i="8"/>
  <c r="K584" i="8"/>
  <c r="M581" i="8"/>
  <c r="L581" i="8"/>
  <c r="K581" i="8"/>
  <c r="M586" i="8"/>
  <c r="L586" i="8"/>
  <c r="K586" i="8"/>
  <c r="M583" i="8"/>
  <c r="L583" i="8"/>
  <c r="K583" i="8"/>
  <c r="M580" i="8"/>
  <c r="L580" i="8"/>
  <c r="K580" i="8"/>
  <c r="M585" i="8"/>
  <c r="L585" i="8"/>
  <c r="K585" i="8"/>
  <c r="M582" i="8"/>
  <c r="L582" i="8"/>
  <c r="K582" i="8"/>
  <c r="M579" i="8"/>
  <c r="L579" i="8"/>
  <c r="K579" i="8"/>
  <c r="M578" i="8"/>
  <c r="L578" i="8"/>
  <c r="K578" i="8"/>
  <c r="M575" i="8"/>
  <c r="L575" i="8"/>
  <c r="K575" i="8"/>
  <c r="M572" i="8"/>
  <c r="L572" i="8"/>
  <c r="K572" i="8"/>
  <c r="M577" i="8"/>
  <c r="L577" i="8"/>
  <c r="K577" i="8"/>
  <c r="M574" i="8"/>
  <c r="L574" i="8"/>
  <c r="K574" i="8"/>
  <c r="M571" i="8"/>
  <c r="L571" i="8"/>
  <c r="K571" i="8"/>
  <c r="M576" i="8"/>
  <c r="L576" i="8"/>
  <c r="K576" i="8"/>
  <c r="M573" i="8"/>
  <c r="L573" i="8"/>
  <c r="K573" i="8"/>
  <c r="M570" i="8"/>
  <c r="L570" i="8"/>
  <c r="K570" i="8"/>
  <c r="M569" i="8"/>
  <c r="L569" i="8"/>
  <c r="K569" i="8"/>
  <c r="M566" i="8"/>
  <c r="L566" i="8"/>
  <c r="K566" i="8"/>
  <c r="M563" i="8"/>
  <c r="L563" i="8"/>
  <c r="K563" i="8"/>
  <c r="M568" i="8"/>
  <c r="L568" i="8"/>
  <c r="K568" i="8"/>
  <c r="M565" i="8"/>
  <c r="L565" i="8"/>
  <c r="K565" i="8"/>
  <c r="M562" i="8"/>
  <c r="L562" i="8"/>
  <c r="K562" i="8"/>
  <c r="M567" i="8"/>
  <c r="L567" i="8"/>
  <c r="K567" i="8"/>
  <c r="M564" i="8"/>
  <c r="L564" i="8"/>
  <c r="K564" i="8"/>
  <c r="M561" i="8"/>
  <c r="L561" i="8"/>
  <c r="K561" i="8"/>
  <c r="M560" i="8"/>
  <c r="L560" i="8"/>
  <c r="K560" i="8"/>
  <c r="M557" i="8"/>
  <c r="L557" i="8"/>
  <c r="K557" i="8"/>
  <c r="M554" i="8"/>
  <c r="L554" i="8"/>
  <c r="K554" i="8"/>
  <c r="M559" i="8"/>
  <c r="L559" i="8"/>
  <c r="K559" i="8"/>
  <c r="M556" i="8"/>
  <c r="L556" i="8"/>
  <c r="K556" i="8"/>
  <c r="M553" i="8"/>
  <c r="L553" i="8"/>
  <c r="K553" i="8"/>
  <c r="M558" i="8"/>
  <c r="L558" i="8"/>
  <c r="K558" i="8"/>
  <c r="M555" i="8"/>
  <c r="L555" i="8"/>
  <c r="K555" i="8"/>
  <c r="M552" i="8"/>
  <c r="L552" i="8"/>
  <c r="K552" i="8"/>
  <c r="M551" i="8"/>
  <c r="L551" i="8"/>
  <c r="K551" i="8"/>
  <c r="M548" i="8"/>
  <c r="L548" i="8"/>
  <c r="K548" i="8"/>
  <c r="M545" i="8"/>
  <c r="L545" i="8"/>
  <c r="K545" i="8"/>
  <c r="M550" i="8"/>
  <c r="L550" i="8"/>
  <c r="K550" i="8"/>
  <c r="M547" i="8"/>
  <c r="L547" i="8"/>
  <c r="K547" i="8"/>
  <c r="M544" i="8"/>
  <c r="L544" i="8"/>
  <c r="K544" i="8"/>
  <c r="M549" i="8"/>
  <c r="L549" i="8"/>
  <c r="K549" i="8"/>
  <c r="M546" i="8"/>
  <c r="L546" i="8"/>
  <c r="K546" i="8"/>
  <c r="M543" i="8"/>
  <c r="L543" i="8"/>
  <c r="K543" i="8"/>
  <c r="M542" i="8"/>
  <c r="L542" i="8"/>
  <c r="K542" i="8"/>
  <c r="M539" i="8"/>
  <c r="L539" i="8"/>
  <c r="K539" i="8"/>
  <c r="M536" i="8"/>
  <c r="L536" i="8"/>
  <c r="K536" i="8"/>
  <c r="M541" i="8"/>
  <c r="L541" i="8"/>
  <c r="K541" i="8"/>
  <c r="M538" i="8"/>
  <c r="L538" i="8"/>
  <c r="K538" i="8"/>
  <c r="M535" i="8"/>
  <c r="L535" i="8"/>
  <c r="K535" i="8"/>
  <c r="M540" i="8"/>
  <c r="L540" i="8"/>
  <c r="K540" i="8"/>
  <c r="M537" i="8"/>
  <c r="L537" i="8"/>
  <c r="K537" i="8"/>
  <c r="M534" i="8"/>
  <c r="L534" i="8"/>
  <c r="K534" i="8"/>
  <c r="M533" i="8"/>
  <c r="L533" i="8"/>
  <c r="K533" i="8"/>
  <c r="M530" i="8"/>
  <c r="L530" i="8"/>
  <c r="K530" i="8"/>
  <c r="M527" i="8"/>
  <c r="L527" i="8"/>
  <c r="K527" i="8"/>
  <c r="M532" i="8"/>
  <c r="L532" i="8"/>
  <c r="K532" i="8"/>
  <c r="M529" i="8"/>
  <c r="L529" i="8"/>
  <c r="K529" i="8"/>
  <c r="M526" i="8"/>
  <c r="L526" i="8"/>
  <c r="K526" i="8"/>
  <c r="M531" i="8"/>
  <c r="L531" i="8"/>
  <c r="K531" i="8"/>
  <c r="M528" i="8"/>
  <c r="L528" i="8"/>
  <c r="K528" i="8"/>
  <c r="M525" i="8"/>
  <c r="L525" i="8"/>
  <c r="K525" i="8"/>
  <c r="M524" i="8"/>
  <c r="L524" i="8"/>
  <c r="K524" i="8"/>
  <c r="M521" i="8"/>
  <c r="L521" i="8"/>
  <c r="K521" i="8"/>
  <c r="M518" i="8"/>
  <c r="L518" i="8"/>
  <c r="K518" i="8"/>
  <c r="M523" i="8"/>
  <c r="L523" i="8"/>
  <c r="K523" i="8"/>
  <c r="M520" i="8"/>
  <c r="L520" i="8"/>
  <c r="K520" i="8"/>
  <c r="M517" i="8"/>
  <c r="L517" i="8"/>
  <c r="K517" i="8"/>
  <c r="M522" i="8"/>
  <c r="L522" i="8"/>
  <c r="K522" i="8"/>
  <c r="M519" i="8"/>
  <c r="L519" i="8"/>
  <c r="K519" i="8"/>
  <c r="M516" i="8"/>
  <c r="L516" i="8"/>
  <c r="K516" i="8"/>
  <c r="M515" i="8"/>
  <c r="L515" i="8"/>
  <c r="K515" i="8"/>
  <c r="M512" i="8"/>
  <c r="L512" i="8"/>
  <c r="K512" i="8"/>
  <c r="M509" i="8"/>
  <c r="L509" i="8"/>
  <c r="K509" i="8"/>
  <c r="M514" i="8"/>
  <c r="L514" i="8"/>
  <c r="K514" i="8"/>
  <c r="M511" i="8"/>
  <c r="L511" i="8"/>
  <c r="K511" i="8"/>
  <c r="M508" i="8"/>
  <c r="L508" i="8"/>
  <c r="K508" i="8"/>
  <c r="M513" i="8"/>
  <c r="L513" i="8"/>
  <c r="K513" i="8"/>
  <c r="M510" i="8"/>
  <c r="L510" i="8"/>
  <c r="K510" i="8"/>
  <c r="M507" i="8"/>
  <c r="L507" i="8"/>
  <c r="K507" i="8"/>
  <c r="M506" i="8"/>
  <c r="L506" i="8"/>
  <c r="K506" i="8"/>
  <c r="M503" i="8"/>
  <c r="L503" i="8"/>
  <c r="K503" i="8"/>
  <c r="M500" i="8"/>
  <c r="L500" i="8"/>
  <c r="K500" i="8"/>
  <c r="M505" i="8"/>
  <c r="L505" i="8"/>
  <c r="K505" i="8"/>
  <c r="M502" i="8"/>
  <c r="L502" i="8"/>
  <c r="K502" i="8"/>
  <c r="M499" i="8"/>
  <c r="L499" i="8"/>
  <c r="K499" i="8"/>
  <c r="M504" i="8"/>
  <c r="L504" i="8"/>
  <c r="K504" i="8"/>
  <c r="M501" i="8"/>
  <c r="L501" i="8"/>
  <c r="K501" i="8"/>
  <c r="M498" i="8"/>
  <c r="L498" i="8"/>
  <c r="K498" i="8"/>
  <c r="M497" i="8"/>
  <c r="L497" i="8"/>
  <c r="K497" i="8"/>
  <c r="M494" i="8"/>
  <c r="L494" i="8"/>
  <c r="K494" i="8"/>
  <c r="M491" i="8"/>
  <c r="L491" i="8"/>
  <c r="K491" i="8"/>
  <c r="M496" i="8"/>
  <c r="L496" i="8"/>
  <c r="K496" i="8"/>
  <c r="M493" i="8"/>
  <c r="L493" i="8"/>
  <c r="K493" i="8"/>
  <c r="M490" i="8"/>
  <c r="L490" i="8"/>
  <c r="K490" i="8"/>
  <c r="M495" i="8"/>
  <c r="L495" i="8"/>
  <c r="K495" i="8"/>
  <c r="M492" i="8"/>
  <c r="L492" i="8"/>
  <c r="K492" i="8"/>
  <c r="M489" i="8"/>
  <c r="L489" i="8"/>
  <c r="K489" i="8"/>
  <c r="M488" i="8"/>
  <c r="L488" i="8"/>
  <c r="K488" i="8"/>
  <c r="M485" i="8"/>
  <c r="L485" i="8"/>
  <c r="K485" i="8"/>
  <c r="M482" i="8"/>
  <c r="L482" i="8"/>
  <c r="K482" i="8"/>
  <c r="M487" i="8"/>
  <c r="L487" i="8"/>
  <c r="K487" i="8"/>
  <c r="M484" i="8"/>
  <c r="L484" i="8"/>
  <c r="K484" i="8"/>
  <c r="M481" i="8"/>
  <c r="L481" i="8"/>
  <c r="K481" i="8"/>
  <c r="M486" i="8"/>
  <c r="L486" i="8"/>
  <c r="K486" i="8"/>
  <c r="M483" i="8"/>
  <c r="L483" i="8"/>
  <c r="K483" i="8"/>
  <c r="M480" i="8"/>
  <c r="L480" i="8"/>
  <c r="K480" i="8"/>
  <c r="M479" i="8"/>
  <c r="L479" i="8"/>
  <c r="K479" i="8"/>
  <c r="M476" i="8"/>
  <c r="L476" i="8"/>
  <c r="K476" i="8"/>
  <c r="M473" i="8"/>
  <c r="L473" i="8"/>
  <c r="K473" i="8"/>
  <c r="M478" i="8"/>
  <c r="L478" i="8"/>
  <c r="K478" i="8"/>
  <c r="M475" i="8"/>
  <c r="L475" i="8"/>
  <c r="K475" i="8"/>
  <c r="M472" i="8"/>
  <c r="L472" i="8"/>
  <c r="K472" i="8"/>
  <c r="M477" i="8"/>
  <c r="L477" i="8"/>
  <c r="K477" i="8"/>
  <c r="M474" i="8"/>
  <c r="L474" i="8"/>
  <c r="K474" i="8"/>
  <c r="M471" i="8"/>
  <c r="L471" i="8"/>
  <c r="K471" i="8"/>
  <c r="M470" i="8"/>
  <c r="L470" i="8"/>
  <c r="K470" i="8"/>
  <c r="M467" i="8"/>
  <c r="L467" i="8"/>
  <c r="K467" i="8"/>
  <c r="M464" i="8"/>
  <c r="L464" i="8"/>
  <c r="K464" i="8"/>
  <c r="M469" i="8"/>
  <c r="L469" i="8"/>
  <c r="K469" i="8"/>
  <c r="M466" i="8"/>
  <c r="L466" i="8"/>
  <c r="K466" i="8"/>
  <c r="M463" i="8"/>
  <c r="L463" i="8"/>
  <c r="K463" i="8"/>
  <c r="M468" i="8"/>
  <c r="L468" i="8"/>
  <c r="K468" i="8"/>
  <c r="M465" i="8"/>
  <c r="L465" i="8"/>
  <c r="K465" i="8"/>
  <c r="M462" i="8"/>
  <c r="L462" i="8"/>
  <c r="K462" i="8"/>
  <c r="M461" i="8"/>
  <c r="L461" i="8"/>
  <c r="K461" i="8"/>
  <c r="M458" i="8"/>
  <c r="L458" i="8"/>
  <c r="K458" i="8"/>
  <c r="M455" i="8"/>
  <c r="L455" i="8"/>
  <c r="K455" i="8"/>
  <c r="M460" i="8"/>
  <c r="L460" i="8"/>
  <c r="K460" i="8"/>
  <c r="M457" i="8"/>
  <c r="L457" i="8"/>
  <c r="K457" i="8"/>
  <c r="M454" i="8"/>
  <c r="L454" i="8"/>
  <c r="K454" i="8"/>
  <c r="M459" i="8"/>
  <c r="L459" i="8"/>
  <c r="K459" i="8"/>
  <c r="M456" i="8"/>
  <c r="L456" i="8"/>
  <c r="K456" i="8"/>
  <c r="M453" i="8"/>
  <c r="L453" i="8"/>
  <c r="K453" i="8"/>
  <c r="M452" i="8"/>
  <c r="L452" i="8"/>
  <c r="K452" i="8"/>
  <c r="M449" i="8"/>
  <c r="L449" i="8"/>
  <c r="K449" i="8"/>
  <c r="M446" i="8"/>
  <c r="L446" i="8"/>
  <c r="K446" i="8"/>
  <c r="M451" i="8"/>
  <c r="L451" i="8"/>
  <c r="K451" i="8"/>
  <c r="M448" i="8"/>
  <c r="L448" i="8"/>
  <c r="K448" i="8"/>
  <c r="M445" i="8"/>
  <c r="L445" i="8"/>
  <c r="K445" i="8"/>
  <c r="M450" i="8"/>
  <c r="L450" i="8"/>
  <c r="K450" i="8"/>
  <c r="M447" i="8"/>
  <c r="L447" i="8"/>
  <c r="K447" i="8"/>
  <c r="M444" i="8"/>
  <c r="L444" i="8"/>
  <c r="K444" i="8"/>
  <c r="M443" i="8"/>
  <c r="L443" i="8"/>
  <c r="K443" i="8"/>
  <c r="M440" i="8"/>
  <c r="L440" i="8"/>
  <c r="K440" i="8"/>
  <c r="M437" i="8"/>
  <c r="L437" i="8"/>
  <c r="K437" i="8"/>
  <c r="M442" i="8"/>
  <c r="L442" i="8"/>
  <c r="K442" i="8"/>
  <c r="M439" i="8"/>
  <c r="L439" i="8"/>
  <c r="K439" i="8"/>
  <c r="M436" i="8"/>
  <c r="L436" i="8"/>
  <c r="K436" i="8"/>
  <c r="M441" i="8"/>
  <c r="L441" i="8"/>
  <c r="K441" i="8"/>
  <c r="M438" i="8"/>
  <c r="L438" i="8"/>
  <c r="K438" i="8"/>
  <c r="M435" i="8"/>
  <c r="L435" i="8"/>
  <c r="K435" i="8"/>
  <c r="M434" i="8"/>
  <c r="L434" i="8"/>
  <c r="K434" i="8"/>
  <c r="M431" i="8"/>
  <c r="L431" i="8"/>
  <c r="K431" i="8"/>
  <c r="M428" i="8"/>
  <c r="L428" i="8"/>
  <c r="K428" i="8"/>
  <c r="M433" i="8"/>
  <c r="L433" i="8"/>
  <c r="K433" i="8"/>
  <c r="M430" i="8"/>
  <c r="L430" i="8"/>
  <c r="K430" i="8"/>
  <c r="M427" i="8"/>
  <c r="L427" i="8"/>
  <c r="K427" i="8"/>
  <c r="M432" i="8"/>
  <c r="L432" i="8"/>
  <c r="K432" i="8"/>
  <c r="M429" i="8"/>
  <c r="L429" i="8"/>
  <c r="K429" i="8"/>
  <c r="M426" i="8"/>
  <c r="L426" i="8"/>
  <c r="K426" i="8"/>
  <c r="M425" i="8"/>
  <c r="L425" i="8"/>
  <c r="K425" i="8"/>
  <c r="M422" i="8"/>
  <c r="L422" i="8"/>
  <c r="K422" i="8"/>
  <c r="M419" i="8"/>
  <c r="L419" i="8"/>
  <c r="K419" i="8"/>
  <c r="M424" i="8"/>
  <c r="L424" i="8"/>
  <c r="K424" i="8"/>
  <c r="M421" i="8"/>
  <c r="L421" i="8"/>
  <c r="K421" i="8"/>
  <c r="M418" i="8"/>
  <c r="L418" i="8"/>
  <c r="K418" i="8"/>
  <c r="M423" i="8"/>
  <c r="L423" i="8"/>
  <c r="K423" i="8"/>
  <c r="M420" i="8"/>
  <c r="L420" i="8"/>
  <c r="K420" i="8"/>
  <c r="M417" i="8"/>
  <c r="L417" i="8"/>
  <c r="K417" i="8"/>
  <c r="M416" i="8"/>
  <c r="L416" i="8"/>
  <c r="K416" i="8"/>
  <c r="M413" i="8"/>
  <c r="L413" i="8"/>
  <c r="K413" i="8"/>
  <c r="M410" i="8"/>
  <c r="L410" i="8"/>
  <c r="K410" i="8"/>
  <c r="M415" i="8"/>
  <c r="L415" i="8"/>
  <c r="K415" i="8"/>
  <c r="M412" i="8"/>
  <c r="L412" i="8"/>
  <c r="K412" i="8"/>
  <c r="M409" i="8"/>
  <c r="L409" i="8"/>
  <c r="K409" i="8"/>
  <c r="M414" i="8"/>
  <c r="L414" i="8"/>
  <c r="K414" i="8"/>
  <c r="M411" i="8"/>
  <c r="L411" i="8"/>
  <c r="K411" i="8"/>
  <c r="M408" i="8"/>
  <c r="L408" i="8"/>
  <c r="K408" i="8"/>
  <c r="M407" i="8"/>
  <c r="L407" i="8"/>
  <c r="K407" i="8"/>
  <c r="M404" i="8"/>
  <c r="L404" i="8"/>
  <c r="K404" i="8"/>
  <c r="M401" i="8"/>
  <c r="L401" i="8"/>
  <c r="K401" i="8"/>
  <c r="M406" i="8"/>
  <c r="L406" i="8"/>
  <c r="K406" i="8"/>
  <c r="M403" i="8"/>
  <c r="L403" i="8"/>
  <c r="K403" i="8"/>
  <c r="M400" i="8"/>
  <c r="L400" i="8"/>
  <c r="K400" i="8"/>
  <c r="M405" i="8"/>
  <c r="L405" i="8"/>
  <c r="K405" i="8"/>
  <c r="M402" i="8"/>
  <c r="L402" i="8"/>
  <c r="K402" i="8"/>
  <c r="M399" i="8"/>
  <c r="L399" i="8"/>
  <c r="K399" i="8"/>
  <c r="M398" i="8"/>
  <c r="L398" i="8"/>
  <c r="K398" i="8"/>
  <c r="M389" i="8"/>
  <c r="L389" i="8"/>
  <c r="K389" i="8"/>
  <c r="M380" i="8"/>
  <c r="L380" i="8"/>
  <c r="K380" i="8"/>
  <c r="M371" i="8"/>
  <c r="L371" i="8"/>
  <c r="K371" i="8"/>
  <c r="M362" i="8"/>
  <c r="L362" i="8"/>
  <c r="K362" i="8"/>
  <c r="M353" i="8"/>
  <c r="L353" i="8"/>
  <c r="K353" i="8"/>
  <c r="M344" i="8"/>
  <c r="L344" i="8"/>
  <c r="K344" i="8"/>
  <c r="M335" i="8"/>
  <c r="L335" i="8"/>
  <c r="K335" i="8"/>
  <c r="M326" i="8"/>
  <c r="L326" i="8"/>
  <c r="K326" i="8"/>
  <c r="M317" i="8"/>
  <c r="L317" i="8"/>
  <c r="K317" i="8"/>
  <c r="M308" i="8"/>
  <c r="L308" i="8"/>
  <c r="K308" i="8"/>
  <c r="M299" i="8"/>
  <c r="L299" i="8"/>
  <c r="K299" i="8"/>
  <c r="M290" i="8"/>
  <c r="L290" i="8"/>
  <c r="K290" i="8"/>
  <c r="M281" i="8"/>
  <c r="L281" i="8"/>
  <c r="K281" i="8"/>
  <c r="M272" i="8"/>
  <c r="L272" i="8"/>
  <c r="K272" i="8"/>
  <c r="M263" i="8"/>
  <c r="L263" i="8"/>
  <c r="K263" i="8"/>
  <c r="M395" i="8"/>
  <c r="L395" i="8"/>
  <c r="K395" i="8"/>
  <c r="M386" i="8"/>
  <c r="L386" i="8"/>
  <c r="K386" i="8"/>
  <c r="M377" i="8"/>
  <c r="L377" i="8"/>
  <c r="K377" i="8"/>
  <c r="M368" i="8"/>
  <c r="L368" i="8"/>
  <c r="K368" i="8"/>
  <c r="M359" i="8"/>
  <c r="L359" i="8"/>
  <c r="K359" i="8"/>
  <c r="M350" i="8"/>
  <c r="L350" i="8"/>
  <c r="K350" i="8"/>
  <c r="M341" i="8"/>
  <c r="L341" i="8"/>
  <c r="K341" i="8"/>
  <c r="M332" i="8"/>
  <c r="L332" i="8"/>
  <c r="K332" i="8"/>
  <c r="M323" i="8"/>
  <c r="L323" i="8"/>
  <c r="K323" i="8"/>
  <c r="M314" i="8"/>
  <c r="L314" i="8"/>
  <c r="K314" i="8"/>
  <c r="M305" i="8"/>
  <c r="L305" i="8"/>
  <c r="K305" i="8"/>
  <c r="M296" i="8"/>
  <c r="L296" i="8"/>
  <c r="K296" i="8"/>
  <c r="M287" i="8"/>
  <c r="L287" i="8"/>
  <c r="K287" i="8"/>
  <c r="M278" i="8"/>
  <c r="L278" i="8"/>
  <c r="K278" i="8"/>
  <c r="M269" i="8"/>
  <c r="L269" i="8"/>
  <c r="K269" i="8"/>
  <c r="M260" i="8"/>
  <c r="L260" i="8"/>
  <c r="K260" i="8"/>
  <c r="M392" i="8"/>
  <c r="L392" i="8"/>
  <c r="K392" i="8"/>
  <c r="M383" i="8"/>
  <c r="L383" i="8"/>
  <c r="K383" i="8"/>
  <c r="M374" i="8"/>
  <c r="L374" i="8"/>
  <c r="K374" i="8"/>
  <c r="M365" i="8"/>
  <c r="L365" i="8"/>
  <c r="K365" i="8"/>
  <c r="M356" i="8"/>
  <c r="L356" i="8"/>
  <c r="K356" i="8"/>
  <c r="M347" i="8"/>
  <c r="L347" i="8"/>
  <c r="K347" i="8"/>
  <c r="M338" i="8"/>
  <c r="L338" i="8"/>
  <c r="K338" i="8"/>
  <c r="M329" i="8"/>
  <c r="L329" i="8"/>
  <c r="K329" i="8"/>
  <c r="M320" i="8"/>
  <c r="L320" i="8"/>
  <c r="K320" i="8"/>
  <c r="M311" i="8"/>
  <c r="L311" i="8"/>
  <c r="K311" i="8"/>
  <c r="M302" i="8"/>
  <c r="L302" i="8"/>
  <c r="K302" i="8"/>
  <c r="M293" i="8"/>
  <c r="L293" i="8"/>
  <c r="K293" i="8"/>
  <c r="M284" i="8"/>
  <c r="L284" i="8"/>
  <c r="K284" i="8"/>
  <c r="M275" i="8"/>
  <c r="L275" i="8"/>
  <c r="K275" i="8"/>
  <c r="M266" i="8"/>
  <c r="L266" i="8"/>
  <c r="K266" i="8"/>
  <c r="M257" i="8"/>
  <c r="L257" i="8"/>
  <c r="K257" i="8"/>
  <c r="M397" i="8"/>
  <c r="L397" i="8"/>
  <c r="K397" i="8"/>
  <c r="M388" i="8"/>
  <c r="L388" i="8"/>
  <c r="K388" i="8"/>
  <c r="M379" i="8"/>
  <c r="L379" i="8"/>
  <c r="K379" i="8"/>
  <c r="M370" i="8"/>
  <c r="L370" i="8"/>
  <c r="K370" i="8"/>
  <c r="M361" i="8"/>
  <c r="L361" i="8"/>
  <c r="K361" i="8"/>
  <c r="M352" i="8"/>
  <c r="L352" i="8"/>
  <c r="K352" i="8"/>
  <c r="M343" i="8"/>
  <c r="L343" i="8"/>
  <c r="K343" i="8"/>
  <c r="M334" i="8"/>
  <c r="L334" i="8"/>
  <c r="K334" i="8"/>
  <c r="M325" i="8"/>
  <c r="L325" i="8"/>
  <c r="K325" i="8"/>
  <c r="M316" i="8"/>
  <c r="L316" i="8"/>
  <c r="K316" i="8"/>
  <c r="M307" i="8"/>
  <c r="L307" i="8"/>
  <c r="K307" i="8"/>
  <c r="M298" i="8"/>
  <c r="L298" i="8"/>
  <c r="K298" i="8"/>
  <c r="M289" i="8"/>
  <c r="L289" i="8"/>
  <c r="K289" i="8"/>
  <c r="M280" i="8"/>
  <c r="L280" i="8"/>
  <c r="K280" i="8"/>
  <c r="M271" i="8"/>
  <c r="L271" i="8"/>
  <c r="K271" i="8"/>
  <c r="M262" i="8"/>
  <c r="L262" i="8"/>
  <c r="K262" i="8"/>
  <c r="M394" i="8"/>
  <c r="L394" i="8"/>
  <c r="K394" i="8"/>
  <c r="M385" i="8"/>
  <c r="L385" i="8"/>
  <c r="K385" i="8"/>
  <c r="M376" i="8"/>
  <c r="L376" i="8"/>
  <c r="K376" i="8"/>
  <c r="M367" i="8"/>
  <c r="L367" i="8"/>
  <c r="K367" i="8"/>
  <c r="M358" i="8"/>
  <c r="L358" i="8"/>
  <c r="K358" i="8"/>
  <c r="M349" i="8"/>
  <c r="L349" i="8"/>
  <c r="K349" i="8"/>
  <c r="M340" i="8"/>
  <c r="L340" i="8"/>
  <c r="K340" i="8"/>
  <c r="M331" i="8"/>
  <c r="L331" i="8"/>
  <c r="K331" i="8"/>
  <c r="M322" i="8"/>
  <c r="L322" i="8"/>
  <c r="K322" i="8"/>
  <c r="M313" i="8"/>
  <c r="L313" i="8"/>
  <c r="K313" i="8"/>
  <c r="M304" i="8"/>
  <c r="L304" i="8"/>
  <c r="K304" i="8"/>
  <c r="M295" i="8"/>
  <c r="L295" i="8"/>
  <c r="K295" i="8"/>
  <c r="M286" i="8"/>
  <c r="L286" i="8"/>
  <c r="K286" i="8"/>
  <c r="M277" i="8"/>
  <c r="L277" i="8"/>
  <c r="K277" i="8"/>
  <c r="M268" i="8"/>
  <c r="L268" i="8"/>
  <c r="K268" i="8"/>
  <c r="M259" i="8"/>
  <c r="L259" i="8"/>
  <c r="K259" i="8"/>
  <c r="M391" i="8"/>
  <c r="L391" i="8"/>
  <c r="K391" i="8"/>
  <c r="M382" i="8"/>
  <c r="L382" i="8"/>
  <c r="K382" i="8"/>
  <c r="M373" i="8"/>
  <c r="L373" i="8"/>
  <c r="K373" i="8"/>
  <c r="M364" i="8"/>
  <c r="L364" i="8"/>
  <c r="K364" i="8"/>
  <c r="M355" i="8"/>
  <c r="L355" i="8"/>
  <c r="K355" i="8"/>
  <c r="M346" i="8"/>
  <c r="L346" i="8"/>
  <c r="K346" i="8"/>
  <c r="M337" i="8"/>
  <c r="L337" i="8"/>
  <c r="K337" i="8"/>
  <c r="M328" i="8"/>
  <c r="L328" i="8"/>
  <c r="K328" i="8"/>
  <c r="M319" i="8"/>
  <c r="L319" i="8"/>
  <c r="K319" i="8"/>
  <c r="M310" i="8"/>
  <c r="L310" i="8"/>
  <c r="K310" i="8"/>
  <c r="M301" i="8"/>
  <c r="L301" i="8"/>
  <c r="K301" i="8"/>
  <c r="M292" i="8"/>
  <c r="L292" i="8"/>
  <c r="K292" i="8"/>
  <c r="M283" i="8"/>
  <c r="L283" i="8"/>
  <c r="K283" i="8"/>
  <c r="M274" i="8"/>
  <c r="L274" i="8"/>
  <c r="K274" i="8"/>
  <c r="M265" i="8"/>
  <c r="L265" i="8"/>
  <c r="K265" i="8"/>
  <c r="M256" i="8"/>
  <c r="L256" i="8"/>
  <c r="K256" i="8"/>
  <c r="M396" i="8"/>
  <c r="L396" i="8"/>
  <c r="K396" i="8"/>
  <c r="M387" i="8"/>
  <c r="L387" i="8"/>
  <c r="K387" i="8"/>
  <c r="M378" i="8"/>
  <c r="L378" i="8"/>
  <c r="K378" i="8"/>
  <c r="M369" i="8"/>
  <c r="L369" i="8"/>
  <c r="K369" i="8"/>
  <c r="M360" i="8"/>
  <c r="L360" i="8"/>
  <c r="K360" i="8"/>
  <c r="M351" i="8"/>
  <c r="L351" i="8"/>
  <c r="K351" i="8"/>
  <c r="M342" i="8"/>
  <c r="L342" i="8"/>
  <c r="K342" i="8"/>
  <c r="M333" i="8"/>
  <c r="L333" i="8"/>
  <c r="K333" i="8"/>
  <c r="M324" i="8"/>
  <c r="L324" i="8"/>
  <c r="K324" i="8"/>
  <c r="M315" i="8"/>
  <c r="L315" i="8"/>
  <c r="K315" i="8"/>
  <c r="M306" i="8"/>
  <c r="L306" i="8"/>
  <c r="K306" i="8"/>
  <c r="M297" i="8"/>
  <c r="L297" i="8"/>
  <c r="K297" i="8"/>
  <c r="M288" i="8"/>
  <c r="L288" i="8"/>
  <c r="K288" i="8"/>
  <c r="M279" i="8"/>
  <c r="L279" i="8"/>
  <c r="K279" i="8"/>
  <c r="M270" i="8"/>
  <c r="L270" i="8"/>
  <c r="K270" i="8"/>
  <c r="M261" i="8"/>
  <c r="L261" i="8"/>
  <c r="K261" i="8"/>
  <c r="M393" i="8"/>
  <c r="L393" i="8"/>
  <c r="K393" i="8"/>
  <c r="M384" i="8"/>
  <c r="L384" i="8"/>
  <c r="K384" i="8"/>
  <c r="M375" i="8"/>
  <c r="L375" i="8"/>
  <c r="K375" i="8"/>
  <c r="M366" i="8"/>
  <c r="L366" i="8"/>
  <c r="K366" i="8"/>
  <c r="M357" i="8"/>
  <c r="L357" i="8"/>
  <c r="K357" i="8"/>
  <c r="M348" i="8"/>
  <c r="L348" i="8"/>
  <c r="K348" i="8"/>
  <c r="M339" i="8"/>
  <c r="L339" i="8"/>
  <c r="K339" i="8"/>
  <c r="M330" i="8"/>
  <c r="L330" i="8"/>
  <c r="K330" i="8"/>
  <c r="M321" i="8"/>
  <c r="L321" i="8"/>
  <c r="K321" i="8"/>
  <c r="M312" i="8"/>
  <c r="L312" i="8"/>
  <c r="K312" i="8"/>
  <c r="M303" i="8"/>
  <c r="L303" i="8"/>
  <c r="K303" i="8"/>
  <c r="M294" i="8"/>
  <c r="L294" i="8"/>
  <c r="K294" i="8"/>
  <c r="M285" i="8"/>
  <c r="L285" i="8"/>
  <c r="K285" i="8"/>
  <c r="M276" i="8"/>
  <c r="L276" i="8"/>
  <c r="K276" i="8"/>
  <c r="M267" i="8"/>
  <c r="L267" i="8"/>
  <c r="K267" i="8"/>
  <c r="M258" i="8"/>
  <c r="L258" i="8"/>
  <c r="K258" i="8"/>
  <c r="M390" i="8"/>
  <c r="L390" i="8"/>
  <c r="K390" i="8"/>
  <c r="M381" i="8"/>
  <c r="L381" i="8"/>
  <c r="K381" i="8"/>
  <c r="M372" i="8"/>
  <c r="L372" i="8"/>
  <c r="K372" i="8"/>
  <c r="M363" i="8"/>
  <c r="L363" i="8"/>
  <c r="K363" i="8"/>
  <c r="M354" i="8"/>
  <c r="L354" i="8"/>
  <c r="K354" i="8"/>
  <c r="M345" i="8"/>
  <c r="L345" i="8"/>
  <c r="K345" i="8"/>
  <c r="M336" i="8"/>
  <c r="L336" i="8"/>
  <c r="K336" i="8"/>
  <c r="M327" i="8"/>
  <c r="L327" i="8"/>
  <c r="K327" i="8"/>
  <c r="M318" i="8"/>
  <c r="L318" i="8"/>
  <c r="K318" i="8"/>
  <c r="M309" i="8"/>
  <c r="L309" i="8"/>
  <c r="K309" i="8"/>
  <c r="M300" i="8"/>
  <c r="L300" i="8"/>
  <c r="K300" i="8"/>
  <c r="M291" i="8"/>
  <c r="L291" i="8"/>
  <c r="K291" i="8"/>
  <c r="M282" i="8"/>
  <c r="L282" i="8"/>
  <c r="K282" i="8"/>
  <c r="M273" i="8"/>
  <c r="L273" i="8"/>
  <c r="K273" i="8"/>
  <c r="M264" i="8"/>
  <c r="L264" i="8"/>
  <c r="K264" i="8"/>
  <c r="M255" i="8"/>
  <c r="L255" i="8"/>
  <c r="K255" i="8"/>
  <c r="AL7" i="1" l="1"/>
  <c r="AK7" i="1"/>
  <c r="AJ7" i="1"/>
  <c r="AI7" i="1"/>
  <c r="AH7" i="1"/>
  <c r="AG7" i="1"/>
  <c r="AF7" i="1"/>
  <c r="AE7" i="1"/>
  <c r="AD7" i="1"/>
  <c r="AC7" i="1"/>
  <c r="AB7" i="1"/>
  <c r="AA7" i="1"/>
  <c r="Z7" i="1"/>
  <c r="Y7" i="1"/>
  <c r="X7" i="1"/>
  <c r="W7" i="1"/>
  <c r="V7" i="1"/>
  <c r="U7" i="1"/>
  <c r="T7" i="1"/>
  <c r="CB30" i="5" l="1"/>
  <c r="CA30" i="5"/>
  <c r="BZ30" i="5"/>
  <c r="BY30" i="5"/>
  <c r="BX30" i="5"/>
  <c r="BW30" i="5"/>
  <c r="BV30" i="5"/>
  <c r="BU30" i="5"/>
  <c r="BT30" i="5"/>
  <c r="BS30" i="5"/>
  <c r="BW38" i="5"/>
  <c r="BV38" i="5"/>
  <c r="BU38" i="5"/>
  <c r="BT38" i="5"/>
  <c r="BS38" i="5"/>
  <c r="BW39" i="5"/>
  <c r="BV39" i="5"/>
  <c r="BU39" i="5"/>
  <c r="BT39" i="5"/>
  <c r="BS39" i="5"/>
  <c r="CB29" i="5"/>
  <c r="CA29" i="5"/>
  <c r="BZ29" i="5"/>
  <c r="BY29" i="5"/>
  <c r="BX29" i="5"/>
  <c r="CB21" i="5"/>
  <c r="CA21" i="5"/>
  <c r="BZ21" i="5"/>
  <c r="BY21" i="5"/>
  <c r="BX21" i="5"/>
  <c r="BW40" i="5"/>
  <c r="BV40" i="5"/>
  <c r="BU40" i="5"/>
  <c r="BT40" i="5"/>
  <c r="BS40" i="5"/>
  <c r="CB51" i="5"/>
  <c r="CA51" i="5"/>
  <c r="BZ51" i="5"/>
  <c r="BY51" i="5"/>
  <c r="BW51" i="5"/>
  <c r="BV51" i="5"/>
  <c r="BU51" i="5"/>
  <c r="BT51" i="5"/>
  <c r="CB15" i="5"/>
  <c r="CA15" i="5"/>
  <c r="BZ15" i="5"/>
  <c r="BY15" i="5"/>
  <c r="BX15" i="5"/>
  <c r="CB14" i="5"/>
  <c r="CA14" i="5"/>
  <c r="BZ14" i="5"/>
  <c r="BY14" i="5"/>
  <c r="BX14" i="5"/>
  <c r="CB16" i="5"/>
  <c r="CA16" i="5"/>
  <c r="BZ16" i="5"/>
  <c r="BY16" i="5"/>
  <c r="BX16" i="5"/>
  <c r="CB10" i="5"/>
  <c r="CA10" i="5"/>
  <c r="BZ10" i="5"/>
  <c r="BY10" i="5"/>
  <c r="BX10" i="5"/>
  <c r="CB8" i="5"/>
  <c r="CA8" i="5"/>
  <c r="BZ8" i="5"/>
  <c r="BY8" i="5"/>
  <c r="BX8" i="5"/>
  <c r="CB9" i="5"/>
  <c r="CA9" i="5"/>
  <c r="BZ9" i="5"/>
  <c r="BY9" i="5"/>
  <c r="BX9" i="5"/>
  <c r="CB20" i="5"/>
  <c r="CA20" i="5"/>
  <c r="BZ20" i="5"/>
  <c r="BY20" i="5"/>
  <c r="BX20" i="5"/>
  <c r="CB23" i="5"/>
  <c r="CA23" i="5"/>
  <c r="BZ23" i="5"/>
  <c r="BY23" i="5"/>
  <c r="BX23" i="5"/>
  <c r="CB49" i="5"/>
  <c r="CA49" i="5"/>
  <c r="BZ49" i="5"/>
  <c r="BY49" i="5"/>
  <c r="BW37" i="5"/>
  <c r="BV37" i="5"/>
  <c r="BU37" i="5"/>
  <c r="BT37" i="5"/>
  <c r="BS37" i="5"/>
  <c r="CB34" i="5"/>
  <c r="CA34" i="5"/>
  <c r="BZ34" i="5"/>
  <c r="BY34" i="5"/>
  <c r="BX34" i="5"/>
  <c r="CL43" i="5"/>
  <c r="CK43" i="5"/>
  <c r="CJ43" i="5"/>
  <c r="CI43" i="5"/>
  <c r="CH43" i="5"/>
  <c r="BW43" i="5"/>
  <c r="BV43" i="5"/>
  <c r="BU43" i="5"/>
  <c r="BT43" i="5"/>
  <c r="BS43" i="5"/>
  <c r="CK28" i="5"/>
  <c r="CJ28" i="5"/>
  <c r="CI28" i="5"/>
  <c r="CH28" i="5"/>
  <c r="CG28" i="5"/>
  <c r="CF28" i="5"/>
  <c r="CE28" i="5"/>
  <c r="CD28" i="5"/>
  <c r="CC28" i="5"/>
  <c r="CB28" i="5"/>
  <c r="CA28" i="5"/>
  <c r="BZ28" i="5"/>
  <c r="BY28" i="5"/>
  <c r="BV28" i="5"/>
  <c r="BU28" i="5"/>
  <c r="BT28" i="5"/>
  <c r="BS28" i="5"/>
  <c r="BP70" i="4"/>
  <c r="BP68" i="4"/>
  <c r="BP63" i="4"/>
  <c r="BP61" i="4"/>
  <c r="BP55" i="4"/>
  <c r="BP50" i="4"/>
  <c r="BP47" i="4"/>
  <c r="BP43" i="4"/>
  <c r="BP35" i="4"/>
  <c r="BP34" i="4"/>
  <c r="BP33" i="4"/>
  <c r="BP32" i="4"/>
  <c r="BP31" i="4"/>
  <c r="BP74" i="4"/>
  <c r="BP73" i="4"/>
  <c r="BP72" i="4"/>
  <c r="BP71" i="4"/>
  <c r="BP69" i="4"/>
  <c r="BP67" i="4"/>
  <c r="BP66" i="4"/>
  <c r="BP65" i="4"/>
  <c r="BP64" i="4"/>
  <c r="BP62" i="4"/>
  <c r="BP60" i="4"/>
  <c r="BP59" i="4"/>
  <c r="BP58" i="4"/>
  <c r="BP57" i="4"/>
  <c r="BP56" i="4"/>
  <c r="BP54" i="4"/>
  <c r="BP53" i="4"/>
  <c r="BP52" i="4"/>
  <c r="BP51" i="4"/>
  <c r="BP49" i="4"/>
  <c r="BP48" i="4"/>
  <c r="BP46" i="4"/>
  <c r="BP45" i="4"/>
  <c r="BP44" i="4"/>
  <c r="BP42" i="4"/>
  <c r="BP41" i="4"/>
  <c r="BP40" i="4"/>
  <c r="BP39" i="4"/>
  <c r="BP38" i="4"/>
  <c r="BP37" i="4"/>
  <c r="BP36" i="4"/>
  <c r="BP12" i="4"/>
  <c r="BP30" i="4"/>
  <c r="BP10" i="4"/>
  <c r="BP5" i="4"/>
  <c r="BO5" i="4"/>
  <c r="BN5" i="4"/>
  <c r="BM5" i="4"/>
  <c r="BL5" i="4"/>
  <c r="BP6" i="4"/>
  <c r="BP11" i="4"/>
  <c r="BP3" i="4"/>
  <c r="BP13" i="4"/>
  <c r="BP17" i="4"/>
  <c r="BP23" i="4"/>
  <c r="BP20" i="4"/>
  <c r="BP21" i="4"/>
  <c r="BP16" i="4"/>
  <c r="BP28" i="4"/>
  <c r="BP22" i="4"/>
  <c r="BP27" i="4"/>
  <c r="BP26" i="4"/>
  <c r="BP24" i="4"/>
  <c r="BP29" i="4"/>
  <c r="BP8" i="4"/>
  <c r="BP7" i="4"/>
  <c r="BP15" i="4"/>
  <c r="BP25" i="4"/>
  <c r="BP4" i="4"/>
  <c r="BP9" i="4"/>
  <c r="BP14" i="4"/>
  <c r="BP18" i="4"/>
  <c r="BP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legge</author>
  </authors>
  <commentList>
    <comment ref="H8" authorId="0" shapeId="0" xr:uid="{2AAB8B86-4197-4E8B-ABB8-E2F7A2303EB4}">
      <text>
        <r>
          <rPr>
            <b/>
            <sz val="9"/>
            <color indexed="81"/>
            <rFont val="Tahoma"/>
            <family val="2"/>
          </rPr>
          <t>sarah legge:</t>
        </r>
        <r>
          <rPr>
            <sz val="9"/>
            <color indexed="81"/>
            <rFont val="Tahoma"/>
            <family val="2"/>
          </rPr>
          <t xml:space="preserve">
listed at species level</t>
        </r>
      </text>
    </comment>
    <comment ref="H9" authorId="0" shapeId="0" xr:uid="{14F0AF2F-14C9-47C4-9247-324E6A607755}">
      <text>
        <r>
          <rPr>
            <b/>
            <sz val="9"/>
            <color indexed="81"/>
            <rFont val="Tahoma"/>
            <family val="2"/>
          </rPr>
          <t>sarah legge:</t>
        </r>
        <r>
          <rPr>
            <sz val="9"/>
            <color indexed="81"/>
            <rFont val="Tahoma"/>
            <family val="2"/>
          </rPr>
          <t xml:space="preserve">
listed at species level</t>
        </r>
      </text>
    </comment>
    <comment ref="H11" authorId="0" shapeId="0" xr:uid="{5DDC1AB4-5320-4E60-AAF7-34BF3942F610}">
      <text>
        <r>
          <rPr>
            <b/>
            <sz val="9"/>
            <color indexed="81"/>
            <rFont val="Tahoma"/>
            <family val="2"/>
          </rPr>
          <t>sarah legge:</t>
        </r>
        <r>
          <rPr>
            <sz val="9"/>
            <color indexed="81"/>
            <rFont val="Tahoma"/>
            <family val="2"/>
          </rPr>
          <t xml:space="preserve">
listed at species level</t>
        </r>
      </text>
    </comment>
    <comment ref="H12" authorId="0" shapeId="0" xr:uid="{F9BE38A5-4A34-4C8A-AF74-A5BF41F9FE3D}">
      <text>
        <r>
          <rPr>
            <b/>
            <sz val="9"/>
            <color indexed="81"/>
            <rFont val="Tahoma"/>
            <family val="2"/>
          </rPr>
          <t>sarah legge:</t>
        </r>
        <r>
          <rPr>
            <sz val="9"/>
            <color indexed="81"/>
            <rFont val="Tahoma"/>
            <family val="2"/>
          </rPr>
          <t xml:space="preserve">
listed at species level</t>
        </r>
      </text>
    </comment>
    <comment ref="H16" authorId="0" shapeId="0" xr:uid="{910DE935-027F-4886-B08C-B3F9825A9165}">
      <text>
        <r>
          <rPr>
            <b/>
            <sz val="9"/>
            <color indexed="81"/>
            <rFont val="Tahoma"/>
            <family val="2"/>
          </rPr>
          <t>sarah legge:</t>
        </r>
        <r>
          <rPr>
            <sz val="9"/>
            <color indexed="81"/>
            <rFont val="Tahoma"/>
            <family val="2"/>
          </rPr>
          <t xml:space="preserve">
c. 40% deline in 3 generations before the fire</t>
        </r>
      </text>
    </comment>
    <comment ref="H72" authorId="0" shapeId="0" xr:uid="{BE2F8DD1-9F79-4D16-915C-71B28A66CD6B}">
      <text>
        <r>
          <rPr>
            <b/>
            <sz val="9"/>
            <color indexed="81"/>
            <rFont val="Tahoma"/>
            <family val="2"/>
          </rPr>
          <t>sarah legge:</t>
        </r>
        <r>
          <rPr>
            <sz val="9"/>
            <color indexed="81"/>
            <rFont val="Tahoma"/>
            <family val="2"/>
          </rPr>
          <t xml:space="preserve">
liste as Symposiachrus trivirgatus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legge</author>
  </authors>
  <commentList>
    <comment ref="J12" authorId="0" shapeId="0" xr:uid="{8C14C31C-349F-4F81-9AD2-82BF8962C348}">
      <text>
        <r>
          <rPr>
            <b/>
            <sz val="9"/>
            <color indexed="81"/>
            <rFont val="Tahoma"/>
            <family val="2"/>
          </rPr>
          <t>sarah legge:</t>
        </r>
        <r>
          <rPr>
            <sz val="9"/>
            <color indexed="81"/>
            <rFont val="Tahoma"/>
            <family val="2"/>
          </rPr>
          <t xml:space="preserve">
for currently recognised species, with includes Tasmania as well as mainland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sarah legge</author>
  </authors>
  <commentList>
    <comment ref="M8" authorId="0" shapeId="0" xr:uid="{2BE2B19E-ADA6-4643-92E5-92EDFCCF6B91}">
      <text>
        <r>
          <rPr>
            <b/>
            <sz val="9"/>
            <color indexed="81"/>
            <rFont val="Tahoma"/>
            <family val="2"/>
          </rPr>
          <t>sarah legge:</t>
        </r>
        <r>
          <rPr>
            <sz val="9"/>
            <color indexed="81"/>
            <rFont val="Tahoma"/>
            <family val="2"/>
          </rPr>
          <t xml:space="preserve">
insufficient data, but retained as VU on precationery grounds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sarah legge</author>
  </authors>
  <commentList>
    <comment ref="Q19" authorId="0" shapeId="0" xr:uid="{8CBF84AF-527D-442B-A3EC-A17C5581A2ED}">
      <text>
        <r>
          <rPr>
            <b/>
            <sz val="9"/>
            <color indexed="81"/>
            <rFont val="Tahoma"/>
            <family val="2"/>
          </rPr>
          <t>sarah legge:</t>
        </r>
        <r>
          <rPr>
            <sz val="9"/>
            <color indexed="81"/>
            <rFont val="Tahoma"/>
            <family val="2"/>
          </rPr>
          <t xml:space="preserve">
172-500 from wshop, but now 788 (172-2096) in downloaded assessment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sarah legge</author>
  </authors>
  <commentList>
    <comment ref="E5" authorId="0" shapeId="0" xr:uid="{169540C5-21C3-450E-804D-D461E65345B2}">
      <text>
        <r>
          <rPr>
            <b/>
            <sz val="9"/>
            <color indexed="81"/>
            <rFont val="Tahoma"/>
            <family val="2"/>
          </rPr>
          <t>sarah legge:</t>
        </r>
        <r>
          <rPr>
            <sz val="9"/>
            <color indexed="81"/>
            <rFont val="Tahoma"/>
            <family val="2"/>
          </rPr>
          <t xml:space="preserve">
listed at species level</t>
        </r>
      </text>
    </comment>
    <comment ref="E6" authorId="0" shapeId="0" xr:uid="{A0902DB9-9A20-41A9-812D-A89589F34D0F}">
      <text>
        <r>
          <rPr>
            <b/>
            <sz val="9"/>
            <color indexed="81"/>
            <rFont val="Tahoma"/>
            <family val="2"/>
          </rPr>
          <t>sarah legge:</t>
        </r>
        <r>
          <rPr>
            <sz val="9"/>
            <color indexed="81"/>
            <rFont val="Tahoma"/>
            <family val="2"/>
          </rPr>
          <t xml:space="preserve">
listed at species level</t>
        </r>
      </text>
    </comment>
    <comment ref="E7" authorId="0" shapeId="0" xr:uid="{CB775BAC-7A87-4F0F-B52E-B2683027876C}">
      <text>
        <r>
          <rPr>
            <b/>
            <sz val="9"/>
            <color indexed="81"/>
            <rFont val="Tahoma"/>
            <family val="2"/>
          </rPr>
          <t>sarah legge:</t>
        </r>
        <r>
          <rPr>
            <sz val="9"/>
            <color indexed="81"/>
            <rFont val="Tahoma"/>
            <family val="2"/>
          </rPr>
          <t xml:space="preserve">
c. 40% deline in 3 generations before the fire</t>
        </r>
      </text>
    </comment>
    <comment ref="E12" authorId="0" shapeId="0" xr:uid="{87251F35-AB2D-46C0-BB91-AE91F6A40A6F}">
      <text>
        <r>
          <rPr>
            <b/>
            <sz val="9"/>
            <color indexed="81"/>
            <rFont val="Tahoma"/>
            <family val="2"/>
          </rPr>
          <t>sarah legge:</t>
        </r>
        <r>
          <rPr>
            <sz val="9"/>
            <color indexed="81"/>
            <rFont val="Tahoma"/>
            <family val="2"/>
          </rPr>
          <t xml:space="preserve">
listed at species level</t>
        </r>
      </text>
    </comment>
    <comment ref="E13" authorId="0" shapeId="0" xr:uid="{87C32332-2957-4866-AF51-C5379DD4CD4B}">
      <text>
        <r>
          <rPr>
            <b/>
            <sz val="9"/>
            <color indexed="81"/>
            <rFont val="Tahoma"/>
            <family val="2"/>
          </rPr>
          <t>sarah legge:</t>
        </r>
        <r>
          <rPr>
            <sz val="9"/>
            <color indexed="81"/>
            <rFont val="Tahoma"/>
            <family val="2"/>
          </rPr>
          <t xml:space="preserve">
listed at species level</t>
        </r>
      </text>
    </comment>
    <comment ref="E72" authorId="0" shapeId="0" xr:uid="{B32B1DFA-1B86-4EB7-8DA9-0425C4BD29F9}">
      <text>
        <r>
          <rPr>
            <b/>
            <sz val="9"/>
            <color indexed="81"/>
            <rFont val="Tahoma"/>
            <family val="2"/>
          </rPr>
          <t>sarah legge:</t>
        </r>
        <r>
          <rPr>
            <sz val="9"/>
            <color indexed="81"/>
            <rFont val="Tahoma"/>
            <family val="2"/>
          </rPr>
          <t xml:space="preserve">
liste as Symposiachrus trivirgatus</t>
        </r>
      </text>
    </comment>
    <comment ref="F239" authorId="0" shapeId="0" xr:uid="{C4F1F0CD-B50D-45FE-9894-0C12D3698737}">
      <text>
        <r>
          <rPr>
            <b/>
            <sz val="9"/>
            <color indexed="81"/>
            <rFont val="Tahoma"/>
            <family val="2"/>
          </rPr>
          <t>sarah legge:</t>
        </r>
        <r>
          <rPr>
            <sz val="9"/>
            <color indexed="81"/>
            <rFont val="Tahoma"/>
            <family val="2"/>
          </rPr>
          <t xml:space="preserve">
for currently recognised species, with includes Tasmania as well as mainland</t>
        </r>
      </text>
    </comment>
  </commentList>
</comments>
</file>

<file path=xl/sharedStrings.xml><?xml version="1.0" encoding="utf-8"?>
<sst xmlns="http://schemas.openxmlformats.org/spreadsheetml/2006/main" count="12854" uniqueCount="1319">
  <si>
    <t>Class</t>
  </si>
  <si>
    <t>Family</t>
  </si>
  <si>
    <t>Common name</t>
  </si>
  <si>
    <t>Scientific Name</t>
  </si>
  <si>
    <t>Immediately postfire
BEST</t>
  </si>
  <si>
    <t>lower</t>
  </si>
  <si>
    <t>upper</t>
  </si>
  <si>
    <t>1 yr postfire
BEST</t>
  </si>
  <si>
    <t>10 yrs postfire
BEST</t>
  </si>
  <si>
    <t>UNBURNT Immediately</t>
  </si>
  <si>
    <t>UNBURNT 1 yr
BEST</t>
  </si>
  <si>
    <t>UPPER</t>
  </si>
  <si>
    <t>UNBURNT 10 yrs 
BEST</t>
  </si>
  <si>
    <t>No combined risk from fire extent and sediment slug</t>
  </si>
  <si>
    <t>Low-Moderate combined risk</t>
  </si>
  <si>
    <t>High-Very High combined risk</t>
  </si>
  <si>
    <t>Overall at risk proportion</t>
  </si>
  <si>
    <t>Fish</t>
  </si>
  <si>
    <t>Percichthyidae</t>
  </si>
  <si>
    <t>Blue Mountains Perch</t>
  </si>
  <si>
    <t>Macquaria sp. nov. 'hawkesbury taxon'</t>
  </si>
  <si>
    <t>Galaxiidae</t>
  </si>
  <si>
    <t>Cann Galaxias</t>
  </si>
  <si>
    <t>Galaxias sp. 17 'Cann'</t>
  </si>
  <si>
    <t>Dargo Galaxias</t>
  </si>
  <si>
    <t xml:space="preserve">Galaxias mungadhan </t>
  </si>
  <si>
    <t>East Gippsland Galaxias</t>
  </si>
  <si>
    <t xml:space="preserve">Galaxias aequipinnis </t>
  </si>
  <si>
    <t>Perchichthyidae</t>
  </si>
  <si>
    <t>Eastern Freshwater Cod</t>
  </si>
  <si>
    <t xml:space="preserve">Maccullochella  ikei </t>
  </si>
  <si>
    <t>Flathead Galaxias</t>
  </si>
  <si>
    <t xml:space="preserve">Galaxias rostratus </t>
  </si>
  <si>
    <t>Pseudomugilidae</t>
  </si>
  <si>
    <t>Honey Blue-eye</t>
  </si>
  <si>
    <t xml:space="preserve">Pseudomugil mellis </t>
  </si>
  <si>
    <t>Macquarie Perch</t>
  </si>
  <si>
    <t>Macquaria australasica (MDB)</t>
  </si>
  <si>
    <t>McDowall's Galaxias</t>
  </si>
  <si>
    <t xml:space="preserve">Galaxias mcdowalli  </t>
  </si>
  <si>
    <t>Petromyzontidae</t>
  </si>
  <si>
    <t>Non-parasitic Lamprey</t>
  </si>
  <si>
    <t xml:space="preserve">Mordacia praecox </t>
  </si>
  <si>
    <t>Oxleyan Pygmy Perch</t>
  </si>
  <si>
    <t xml:space="preserve">Nannoperca oxleyana </t>
  </si>
  <si>
    <t>Roundsnout Galaxias</t>
  </si>
  <si>
    <t xml:space="preserve">Galaxias terenasus </t>
  </si>
  <si>
    <t>Short-tail Galaxias</t>
  </si>
  <si>
    <t xml:space="preserve">Galaxias brevissimus </t>
  </si>
  <si>
    <t>Stocky Galaxias</t>
  </si>
  <si>
    <t xml:space="preserve">Galaxias tantangara </t>
  </si>
  <si>
    <t>SW Victorian Blackfish</t>
  </si>
  <si>
    <t>Gadopsis sp. nov. 'Western Victoria'</t>
  </si>
  <si>
    <t>Yalmy Galaxias</t>
  </si>
  <si>
    <t>Galaxias sp. nov. 'yalmy'</t>
  </si>
  <si>
    <t xml:space="preserve">Retropinnaidae </t>
  </si>
  <si>
    <t>Australian Grayling</t>
  </si>
  <si>
    <t xml:space="preserve">Prototroctes  maraena </t>
  </si>
  <si>
    <t>SE Victorian Blackfish</t>
  </si>
  <si>
    <t>Gadopsis sp. nov. SE Victoria</t>
  </si>
  <si>
    <t>Swan Galaxias</t>
  </si>
  <si>
    <t xml:space="preserve">Galaxias fontanus </t>
  </si>
  <si>
    <t>Trout Cod</t>
  </si>
  <si>
    <t xml:space="preserve">Maccullochella macquariensis </t>
  </si>
  <si>
    <t>Two-spined Blackfish</t>
  </si>
  <si>
    <t xml:space="preserve">Gadopsis bispinosus </t>
  </si>
  <si>
    <t>Crayfish - aquatic model that combines overlap of terrestrial fire severity categories with overlap of risk of instream sedimentation events</t>
  </si>
  <si>
    <t>Unburnt 3-4-5</t>
  </si>
  <si>
    <t>Low-moderate 3-4-5</t>
  </si>
  <si>
    <t>high-very high 3-4-5</t>
  </si>
  <si>
    <t>Extent 1 (FireClasses 3,4,5)</t>
  </si>
  <si>
    <t>Unburnt 2-3-4-5</t>
  </si>
  <si>
    <t>Low-moderate 2-3-4-5</t>
  </si>
  <si>
    <t>high-very high2  2-3-4-5</t>
  </si>
  <si>
    <t>extent2 (fire classes 2,3,4,5)</t>
  </si>
  <si>
    <t>Range map FireClass1 (No data)</t>
  </si>
  <si>
    <t>Range map FireClass2 (Unburnt)</t>
  </si>
  <si>
    <t>Range map FireClass3 (Low-moderate)</t>
  </si>
  <si>
    <t>Range map FireClass4 (High)</t>
  </si>
  <si>
    <t>Range map FireClass5 (Very high)</t>
  </si>
  <si>
    <t>Distirbution with data</t>
  </si>
  <si>
    <t>Low combined risk</t>
  </si>
  <si>
    <t>Moderate combined risk</t>
  </si>
  <si>
    <t>High combined risk</t>
  </si>
  <si>
    <t>No rick (unburnt</t>
  </si>
  <si>
    <t>Low-moderate risk</t>
  </si>
  <si>
    <t>high-very high risk</t>
  </si>
  <si>
    <t>Extent of risk</t>
  </si>
  <si>
    <t>Crayfish</t>
  </si>
  <si>
    <t>Parastacidae</t>
  </si>
  <si>
    <t xml:space="preserve">Sydney Crayfish </t>
  </si>
  <si>
    <t>Euastacus australasiensis</t>
  </si>
  <si>
    <t>range map</t>
  </si>
  <si>
    <t>East Gippsland Spiny Crayfish</t>
  </si>
  <si>
    <t>Euastacus bidawalus</t>
  </si>
  <si>
    <t>aquatic model + range map</t>
  </si>
  <si>
    <t>Ellen Clark's Crayfish</t>
  </si>
  <si>
    <t>Euastacus clarkae</t>
  </si>
  <si>
    <t>Clayton's Spiny Crayfish</t>
  </si>
  <si>
    <t>Euastacus claytoni</t>
  </si>
  <si>
    <t>Alpine Crayfish</t>
  </si>
  <si>
    <t>Euastacus crassus</t>
  </si>
  <si>
    <t>Mud Gully Crayfish</t>
  </si>
  <si>
    <t>Euastacus dalagarbe</t>
  </si>
  <si>
    <t>Orbost Spiny Crayfish</t>
  </si>
  <si>
    <t>Euastacus diversus</t>
  </si>
  <si>
    <t>Gamilaroi Spiny Crayfish</t>
  </si>
  <si>
    <t>Euastacus gamilaroi</t>
  </si>
  <si>
    <t xml:space="preserve">Smooth Crayfish </t>
  </si>
  <si>
    <t>Euastacus girurmulayn</t>
  </si>
  <si>
    <t xml:space="preserve">Bloodclaw Crayfish </t>
  </si>
  <si>
    <t>Euastacus gumar</t>
  </si>
  <si>
    <t xml:space="preserve">Tianjara Crayfish </t>
  </si>
  <si>
    <t>Euastacus guwinus</t>
  </si>
  <si>
    <t>Blue-Black Crayfish</t>
  </si>
  <si>
    <t>Euastacus jagabar</t>
  </si>
  <si>
    <t>Jagara Hairy Crayfish</t>
  </si>
  <si>
    <t>Euastacus jagara</t>
  </si>
  <si>
    <t xml:space="preserve">Morgan's Crayfish </t>
  </si>
  <si>
    <t>Euastacus morgani</t>
  </si>
  <si>
    <t xml:space="preserve">New Hairy Crayfish </t>
  </si>
  <si>
    <t>Euastacus neohirsutus</t>
  </si>
  <si>
    <t>Hairy Cataract Crayfish</t>
  </si>
  <si>
    <t>Euastacus pilosus</t>
  </si>
  <si>
    <t>Many-bristled Crayfish</t>
  </si>
  <si>
    <t>Euastacus polysetosus</t>
  </si>
  <si>
    <t>Riek's Spiny Crayfish</t>
  </si>
  <si>
    <t>Euastacus rieki</t>
  </si>
  <si>
    <t>Small Mountain Crayfish</t>
  </si>
  <si>
    <t>Euastacus simplex</t>
  </si>
  <si>
    <t>Arte Spiny Crayfish</t>
  </si>
  <si>
    <t>Euastacus sp. 1</t>
  </si>
  <si>
    <t>Cann Spiny Crayfish</t>
  </si>
  <si>
    <t>Euastacus sp. 2</t>
  </si>
  <si>
    <t>West Snowy Spiny Crayfish</t>
  </si>
  <si>
    <t>Euastacus sp. 3</t>
  </si>
  <si>
    <t xml:space="preserve">Small Crayfish </t>
  </si>
  <si>
    <t>Euastacus spinichelatus</t>
  </si>
  <si>
    <t xml:space="preserve"> </t>
  </si>
  <si>
    <t>Sutton's Crayfish</t>
  </si>
  <si>
    <t>Euastacus suttoni</t>
  </si>
  <si>
    <t>Variable Spiny Crayfish</t>
  </si>
  <si>
    <t>Euastacus yanga</t>
  </si>
  <si>
    <t>Short Thorax Crayfish</t>
  </si>
  <si>
    <t>Euastacus brachythorax</t>
  </si>
  <si>
    <t xml:space="preserve">Small Spiny Crayfish </t>
  </si>
  <si>
    <t>Euastacus dangadi</t>
  </si>
  <si>
    <t>Southern Hairy Crayfish</t>
  </si>
  <si>
    <t>Euastacus hirsutus</t>
  </si>
  <si>
    <t xml:space="preserve">Terrestrial Crayfish </t>
  </si>
  <si>
    <t>Euastacus maccai</t>
  </si>
  <si>
    <t xml:space="preserve">Northern Hairy Crayfish </t>
  </si>
  <si>
    <t>Euastacus reductus</t>
  </si>
  <si>
    <t xml:space="preserve">Giant Spiny Crayfish </t>
  </si>
  <si>
    <t>Euastacus spinifer</t>
  </si>
  <si>
    <t xml:space="preserve">Lamington Crayfish  </t>
  </si>
  <si>
    <t>Euastacus sulcatus</t>
  </si>
  <si>
    <t>Population declines based on expert elicitation x spatial analyses (assuming current management)</t>
  </si>
  <si>
    <t xml:space="preserve">Population decline estimated from expert elicitation x spatial analysis (assuming current management) </t>
  </si>
  <si>
    <t>UoM SDM clipped to IUCN range maps</t>
  </si>
  <si>
    <t>UoM SDM (based on observations collated from multiple data depositories)</t>
  </si>
  <si>
    <t>taxon level</t>
  </si>
  <si>
    <t>Gillespie et al 2020</t>
  </si>
  <si>
    <t>SDM Clipped to range FireClass1 (no data)</t>
  </si>
  <si>
    <t>SDM Clipped to range FireClass2 (no change)</t>
  </si>
  <si>
    <t>SDM Clipped to range FireClass3 (Low-Moderate)</t>
  </si>
  <si>
    <t>SDM Clipped to range FireClass4 (High)</t>
  </si>
  <si>
    <t>SDM Clipped to range FireClass5 (Very High)</t>
  </si>
  <si>
    <t>Unburnt1</t>
  </si>
  <si>
    <t>Low-moderate1</t>
  </si>
  <si>
    <t>high-very high1</t>
  </si>
  <si>
    <t>extent1</t>
  </si>
  <si>
    <t>Unburnt2</t>
  </si>
  <si>
    <t>Low-moderate2</t>
  </si>
  <si>
    <t>high-very high2</t>
  </si>
  <si>
    <t>extent2</t>
  </si>
  <si>
    <t>UoM SDM FireClass1 (No data)</t>
  </si>
  <si>
    <t>UoM SDM FireClass2 (Unburnt)</t>
  </si>
  <si>
    <t>UoM SDM FireClass3 (Low-Moderate)</t>
  </si>
  <si>
    <t>UoM SDM FireClass4 (High)</t>
  </si>
  <si>
    <t>UoM SDM FireClass5 (Very High)</t>
  </si>
  <si>
    <t>Frog</t>
  </si>
  <si>
    <t>Myobatrachidae</t>
  </si>
  <si>
    <t>Wallum froglet</t>
  </si>
  <si>
    <t>Crinia tinnula</t>
  </si>
  <si>
    <t xml:space="preserve">species </t>
  </si>
  <si>
    <t>no</t>
  </si>
  <si>
    <t>VU</t>
  </si>
  <si>
    <t>LC</t>
  </si>
  <si>
    <t>3 candidate species; carry out spatial analyses on currently recognised species plus each of the 3 candidate species</t>
  </si>
  <si>
    <t>Wallum froglet Central)</t>
  </si>
  <si>
    <t>Crinia tinnula (Central)</t>
  </si>
  <si>
    <t>n/a</t>
  </si>
  <si>
    <t>Wallum froglet (North)</t>
  </si>
  <si>
    <t>Crinia tinnula (North)</t>
  </si>
  <si>
    <t>Wallum froglet (South)</t>
  </si>
  <si>
    <t>Crinia tinnula (South)</t>
  </si>
  <si>
    <t>Limnodynastidae</t>
  </si>
  <si>
    <t>Giant Burrowing Frog</t>
  </si>
  <si>
    <t>Heleioporus australiacus</t>
  </si>
  <si>
    <t>yes</t>
  </si>
  <si>
    <t>EN</t>
  </si>
  <si>
    <t>2 lineages currently being described as separate species; carry out spatial analyses on currently recognised species plus each of the 2 proposed species</t>
  </si>
  <si>
    <t>Giant Burrowing Frog (North)</t>
  </si>
  <si>
    <t>Heleioporus australiacus (North)</t>
  </si>
  <si>
    <t>species being described</t>
  </si>
  <si>
    <t>Giant Burrowing Frog (South)</t>
  </si>
  <si>
    <t>Heleioporus australiacus (South)</t>
  </si>
  <si>
    <t>Hylidae</t>
  </si>
  <si>
    <t>Booroolong Frog</t>
  </si>
  <si>
    <t>Litoria booroolongensis</t>
  </si>
  <si>
    <t>species</t>
  </si>
  <si>
    <t>2 deeply divergent lineages that are likely species or subspecies; carry out spatial analyses on both lineages as well as whole species</t>
  </si>
  <si>
    <t>Booroolong Frog (North)</t>
  </si>
  <si>
    <t>Litoria booroolongensis (North)</t>
  </si>
  <si>
    <t>candidate species</t>
  </si>
  <si>
    <t>Booroolong Frog (South)</t>
  </si>
  <si>
    <t>Litoria booroolongensis (South)</t>
  </si>
  <si>
    <t>Davies' Tree frog</t>
  </si>
  <si>
    <t>Litoria daviesae</t>
  </si>
  <si>
    <t>NA</t>
  </si>
  <si>
    <t>Littlejohn's Tree Frog, Heath Frog (North)</t>
  </si>
  <si>
    <t>Litoria littlejohni</t>
  </si>
  <si>
    <t>newly described species</t>
  </si>
  <si>
    <t>2 deeply divergent lineages whose descripions as species are underway; carry out spatial analyses on both new species</t>
  </si>
  <si>
    <t>Spotted Tree Frog</t>
  </si>
  <si>
    <t>Litoria spenceri</t>
  </si>
  <si>
    <t>CR</t>
  </si>
  <si>
    <t>New England treefrog, Glandular frog</t>
  </si>
  <si>
    <t>Litoria subglandulosa</t>
  </si>
  <si>
    <t>Littlejohn's Tree Frog, Heath Frog (South)</t>
  </si>
  <si>
    <t>Litoria watsoni</t>
  </si>
  <si>
    <t>Stuttering Frog, Southern Barred Frog (in Victoria)</t>
  </si>
  <si>
    <t>Mixophyes balbus</t>
  </si>
  <si>
    <t>2 deeply divergent lineages whose descripions as species are underway; carry our spatial analyses on both new species as well as current species</t>
  </si>
  <si>
    <t>Stuttering Frog, Southern Barred Frog (in Victoria) (North)</t>
  </si>
  <si>
    <t>Mixophyes balbus (North)</t>
  </si>
  <si>
    <t>Stuttering Frog, Southern Barred Frog (in Victoria) (South)</t>
  </si>
  <si>
    <t>Mixophyes balbus (South)</t>
  </si>
  <si>
    <t>Fleay's Frog</t>
  </si>
  <si>
    <t>Mixophyes fleayi</t>
  </si>
  <si>
    <t>Giant Barred Frog</t>
  </si>
  <si>
    <t>Mixophyes iteratus</t>
  </si>
  <si>
    <t>Mountain Frog, Red &amp; Yellow Mountain Frog</t>
  </si>
  <si>
    <t>Philoria kundagungan</t>
  </si>
  <si>
    <t>Pugh's Frog</t>
  </si>
  <si>
    <t>Philoria pughi</t>
  </si>
  <si>
    <t>Richmond Range Sphagnum Frog</t>
  </si>
  <si>
    <t>Philoria richmondensis</t>
  </si>
  <si>
    <t>Sphagnum Frog</t>
  </si>
  <si>
    <t>Philoria sphagnicola</t>
  </si>
  <si>
    <t>2 ESUs but no recommendation for taxonomic split</t>
  </si>
  <si>
    <t>Red-crowned Toadlet</t>
  </si>
  <si>
    <t>Pseudophryne australis</t>
  </si>
  <si>
    <t>Brown Toadlet, Brown Broodfrog</t>
  </si>
  <si>
    <t>Pseudophryne bibroni (KI)</t>
  </si>
  <si>
    <t>4 distinct lineages, all candidate species, only KI lineage is heavily fire-affected</t>
  </si>
  <si>
    <t>Southern Corroboree Frog</t>
  </si>
  <si>
    <t>Pseudophryne corroboree</t>
  </si>
  <si>
    <t>Dendy's Toadlet</t>
  </si>
  <si>
    <t>Northern Corroboree Frog</t>
  </si>
  <si>
    <t>Pseudophryne pengilleyi</t>
  </si>
  <si>
    <t>Kroombit Tinker Frog, Pleione's Torrent Frog</t>
  </si>
  <si>
    <t>Taudactylus pleione</t>
  </si>
  <si>
    <t>Martin's Toadlet</t>
  </si>
  <si>
    <t>Uperoleia martini</t>
  </si>
  <si>
    <t>DD</t>
  </si>
  <si>
    <t>NT</t>
  </si>
  <si>
    <t>Tusked Frog</t>
  </si>
  <si>
    <t>Adelotus brevis</t>
  </si>
  <si>
    <t>Pouched frog</t>
  </si>
  <si>
    <t>Assa darlingtoni</t>
  </si>
  <si>
    <t>Mt Warning population is a candidate species; carry out spatial analyses on currently recognised species plus each of the 2 candidate species</t>
  </si>
  <si>
    <t>Pouched frog (Mt Warning)</t>
  </si>
  <si>
    <t>Assa darlingtoni (Mt Warning)</t>
  </si>
  <si>
    <t>Eastern Common Froglet</t>
  </si>
  <si>
    <t>Crinia signifera</t>
  </si>
  <si>
    <t>2 ESUs, but no taxonomic split recommended and fire overlap is low</t>
  </si>
  <si>
    <t>Eastern smooth frog, Victorian smooth frog</t>
  </si>
  <si>
    <t>Geocrinia victoriana</t>
  </si>
  <si>
    <t>Fletcher's frog, Sandpaper frog</t>
  </si>
  <si>
    <t>Lechriodus fletcheri</t>
  </si>
  <si>
    <t>Eastern Banjo Frog, Pobblebonk Frog</t>
  </si>
  <si>
    <t>Limnodynastes dumerilli</t>
  </si>
  <si>
    <t>4 existing subspecies will be raised to full species; carry out spatial analyses on L. d grayii (including Blue Moutains) and L. d. inularis (including sth NSW and East Gippsland), which have higher fire overlaps</t>
  </si>
  <si>
    <t>Limnodynastes dumerilli grayii</t>
  </si>
  <si>
    <t>species (after taxonomic revision)</t>
  </si>
  <si>
    <t>Limnodynastes dumerilli inularis</t>
  </si>
  <si>
    <t>Green and Golden Bell Frog</t>
  </si>
  <si>
    <t>Litoria aurea</t>
  </si>
  <si>
    <t>Mountain Stream Tree Frog</t>
  </si>
  <si>
    <t xml:space="preserve">Litoria barringtonensis </t>
  </si>
  <si>
    <t>Green-thighed Frog</t>
  </si>
  <si>
    <t xml:space="preserve">Litoria brevipalmata </t>
  </si>
  <si>
    <t>Blue Mountains Tree Frog</t>
  </si>
  <si>
    <t xml:space="preserve">Litoria citropa </t>
  </si>
  <si>
    <t>Bleating Tree Frog</t>
  </si>
  <si>
    <t>Litoria dentata</t>
  </si>
  <si>
    <t>3 deeply divergent lineages that are candidate species; carry out spatial analyses on candidate species as well as currently described species</t>
  </si>
  <si>
    <t>Bleating Tree Frog (Central)</t>
  </si>
  <si>
    <t>Litoria dentata (Central)</t>
  </si>
  <si>
    <t>Bleating Tree Frog (North)</t>
  </si>
  <si>
    <t>Litoria dentata (North)</t>
  </si>
  <si>
    <t>Bleating Tree Frog (South)</t>
  </si>
  <si>
    <t>Litoria dentata (South)</t>
  </si>
  <si>
    <t>Ewing's Tree Frog</t>
  </si>
  <si>
    <t>Litoria ewingii</t>
  </si>
  <si>
    <t>4 deeply divergent lineages that are candidate species; carry out spatial analyses on candidate species that is on KI</t>
  </si>
  <si>
    <t>Ewing's Tree Frog (KI lineage)</t>
  </si>
  <si>
    <t>Litoria ewingii (KI lineage)</t>
  </si>
  <si>
    <t>Jervis Bay Tree Frog</t>
  </si>
  <si>
    <t>Litoria jervisiensis</t>
  </si>
  <si>
    <t>Lesueur's Frog</t>
  </si>
  <si>
    <t>Litoria lesueuri</t>
  </si>
  <si>
    <t>Littlejohn's Tree Frog, Heath Frog</t>
  </si>
  <si>
    <t>2 deeply divergent lineages whose descripions as species are underway; carry out spatial analyses on both new species as well as current species</t>
  </si>
  <si>
    <t>Southern Leaf Green Tree Frog</t>
  </si>
  <si>
    <t>Litoria nudidigita</t>
  </si>
  <si>
    <t>Wallum Sedge Frog</t>
  </si>
  <si>
    <t>Litoria olongburensis</t>
  </si>
  <si>
    <t>4 ESUs but no recommendations for a taxonomic split</t>
  </si>
  <si>
    <t>Leaf Green Tree Frog</t>
  </si>
  <si>
    <t xml:space="preserve">Litoria phyllochroa </t>
  </si>
  <si>
    <t>Peppered Tree Frog</t>
  </si>
  <si>
    <t>Litoria piperata</t>
  </si>
  <si>
    <t>Revealed Tree Frog, Whirring Tree Frog</t>
  </si>
  <si>
    <t>Litoria revelata</t>
  </si>
  <si>
    <t>Alpine Tree Frog, Verreaux's Alpine Tree Frog</t>
  </si>
  <si>
    <t xml:space="preserve">Litoria verreauxii </t>
  </si>
  <si>
    <t>Current species has 2 deeply divergent lineages that are candidate species; carry out spatial analyses on these two lineages as well as species</t>
  </si>
  <si>
    <t>Alpine Tree Frog, Verreaux's Alpine Tree Frog (North)</t>
  </si>
  <si>
    <t>Litoria verreauxii (North)</t>
  </si>
  <si>
    <t>Alpine Tree Frog, Verreaux's Alpine Tree Frog (South)</t>
  </si>
  <si>
    <t>Litoria verreauxii (South)</t>
  </si>
  <si>
    <t>Litoria verreauxii alpina</t>
  </si>
  <si>
    <t>subspecies</t>
  </si>
  <si>
    <t>invalid subspecies</t>
  </si>
  <si>
    <t>No support for current subspecies</t>
  </si>
  <si>
    <t>Haswell's Frog</t>
  </si>
  <si>
    <t>Paracrinia haswelli</t>
  </si>
  <si>
    <t>Red-backed Toadlet</t>
  </si>
  <si>
    <t>Pseudophryne coriacea</t>
  </si>
  <si>
    <t>Dusky Toadlet</t>
  </si>
  <si>
    <t>Uperoleia fusca</t>
  </si>
  <si>
    <t>Mahony's Toadlet</t>
  </si>
  <si>
    <t>Uperoleia mahonyi</t>
  </si>
  <si>
    <t>not assessed</t>
  </si>
  <si>
    <t>Tyler's Toadlet</t>
  </si>
  <si>
    <t>Uperoleia tyleri</t>
  </si>
  <si>
    <t>EPBC listing (Jan 2020)</t>
  </si>
  <si>
    <t>IUCN Listing</t>
  </si>
  <si>
    <t xml:space="preserve">VU </t>
  </si>
  <si>
    <t>Taxon level</t>
  </si>
  <si>
    <t>undescribed taxon</t>
  </si>
  <si>
    <t>IUCN</t>
  </si>
  <si>
    <t>EPBCA</t>
  </si>
  <si>
    <t>Birdlife Range map clipped to veg</t>
  </si>
  <si>
    <t>Listing assessment/reassessment?</t>
  </si>
  <si>
    <t>reason</t>
  </si>
  <si>
    <t>EPBC listing category (Jan 2021)</t>
  </si>
  <si>
    <t>IUCN Listing for species; Action Plan for subspecies</t>
  </si>
  <si>
    <t>Range map clipped to veg FireClass1 (No data)</t>
  </si>
  <si>
    <t>Range map clipped to veg FireClass2 (Unburnt)</t>
  </si>
  <si>
    <t>Range map clipped to veg FireClass3 (Low-moderate)</t>
  </si>
  <si>
    <t>Range map clipped to veg FireClass4 (High)</t>
  </si>
  <si>
    <t>Range map clipped to veg FireClass5 (Very high)</t>
  </si>
  <si>
    <t>Low-moderate 3</t>
  </si>
  <si>
    <t>high-very high 4-5</t>
  </si>
  <si>
    <t>Low-moderate 2-3</t>
  </si>
  <si>
    <t>Bird</t>
  </si>
  <si>
    <t>Dasyornithidae</t>
  </si>
  <si>
    <t>Northern Eastern Bristlebird</t>
  </si>
  <si>
    <t>Dasyornis brachypterus monoides</t>
  </si>
  <si>
    <t>Meliphagidae</t>
  </si>
  <si>
    <t>Regent Honeyeater</t>
  </si>
  <si>
    <t>Anthochaera phrygia</t>
  </si>
  <si>
    <t>already listed as CR</t>
  </si>
  <si>
    <t>Eastern Bristlebird</t>
  </si>
  <si>
    <t>Dasyornis brachypterus</t>
  </si>
  <si>
    <t>Monarchidae</t>
  </si>
  <si>
    <t>Black-faced Monarch</t>
  </si>
  <si>
    <t>Monarcha melanopsis</t>
  </si>
  <si>
    <t>decline between 0 and 10 years/3 gens does exceed 30%</t>
  </si>
  <si>
    <t>migratory</t>
  </si>
  <si>
    <t>Southern Eastern Bristlebird</t>
  </si>
  <si>
    <t>Dasyornis brachypterus brachypterus</t>
  </si>
  <si>
    <t>Psittaculidae</t>
  </si>
  <si>
    <t>Western Ground Parrot</t>
  </si>
  <si>
    <t>Pezoporus wallicus flaviventris</t>
  </si>
  <si>
    <t>Cacatuidae</t>
  </si>
  <si>
    <t>Kangaroo Island Glossy Black-Cockatoo</t>
  </si>
  <si>
    <t>Calyptorhynchus lathami halmaturinus</t>
  </si>
  <si>
    <t>Atrichornithidae</t>
  </si>
  <si>
    <t>Southern Rufous Scrub-bird</t>
  </si>
  <si>
    <t>Atrichornis rufescens ferrieri</t>
  </si>
  <si>
    <t>decline between 0 and 10 years/3 gens does not exceed 80%; was listed on basis of Cr2, and although AoO has decreased, it wont meet the threshold for CR</t>
  </si>
  <si>
    <t>Rufous Scrub-bird</t>
  </si>
  <si>
    <t>Atrichornis rufescens</t>
  </si>
  <si>
    <t>Northern Rufous Scrub-bird</t>
  </si>
  <si>
    <t>Atrichornis rufescens rufescens</t>
  </si>
  <si>
    <t>Southern Spectacled Monarch</t>
  </si>
  <si>
    <t>Symposiachrus trivirgatus gouldii</t>
  </si>
  <si>
    <t>fire overlap &lt; 30% so overall population loss unlikely to be &lt; 30%</t>
  </si>
  <si>
    <t>Spectacled Monarch</t>
  </si>
  <si>
    <t>Symposiachrus trivirgatus</t>
  </si>
  <si>
    <t>Rhipiduridae</t>
  </si>
  <si>
    <t>Rufous Fantail</t>
  </si>
  <si>
    <t>Rhipidura rufifrons breeding nonbreeding</t>
  </si>
  <si>
    <t>Rhipidura rufifrons</t>
  </si>
  <si>
    <t>Satin Flycatcher</t>
  </si>
  <si>
    <t>Myiagra cyanoleuca breeding nonbreeding</t>
  </si>
  <si>
    <t>Myiagra cyanoleuca</t>
  </si>
  <si>
    <t>Monarcha melanopsis breeding nonbreeding</t>
  </si>
  <si>
    <t>Apodidae</t>
  </si>
  <si>
    <t>Eastern White-throated Needletail</t>
  </si>
  <si>
    <t>Hirundapus caudacutus</t>
  </si>
  <si>
    <t>VU, migratory</t>
  </si>
  <si>
    <t>Turdidae</t>
  </si>
  <si>
    <t>Western Bassian Thrush</t>
  </si>
  <si>
    <t>Zoothera lunulata halmaturina</t>
  </si>
  <si>
    <t>Scolopacidae</t>
  </si>
  <si>
    <t>Latham's Snipe</t>
  </si>
  <si>
    <t>Gallinago hardwickii</t>
  </si>
  <si>
    <t>Menuridae</t>
  </si>
  <si>
    <t>Albert's Lyrebird</t>
  </si>
  <si>
    <t>Menura alberti</t>
  </si>
  <si>
    <t>Southern Superb Lyrebird</t>
  </si>
  <si>
    <t>Menura novaehollandiae victoriae</t>
  </si>
  <si>
    <t>Northern Superb Lyrebird</t>
  </si>
  <si>
    <t>Menura novaehollandiae edwardi</t>
  </si>
  <si>
    <t>Superb Lyrebird</t>
  </si>
  <si>
    <t>Menura novaehollandiae</t>
  </si>
  <si>
    <t>Petroicidae</t>
  </si>
  <si>
    <t>Rose Robin</t>
  </si>
  <si>
    <t>Petroica rosea breeding nonbreeding</t>
  </si>
  <si>
    <t>South-eastern Leaden Flycatcher</t>
  </si>
  <si>
    <t>Myiagra rubecula rubecula</t>
  </si>
  <si>
    <t>Southern Lewin's Honeyeater</t>
  </si>
  <si>
    <t>Meliphaga lewinii lewinii</t>
  </si>
  <si>
    <t xml:space="preserve">Caprimulgidae </t>
  </si>
  <si>
    <t>White-throated Nightjar</t>
  </si>
  <si>
    <t>Eurostopodus mystacalis</t>
  </si>
  <si>
    <t>Climacteridae</t>
  </si>
  <si>
    <t>Central Eastern White-throated Treecreeper</t>
  </si>
  <si>
    <t>Cormobates leucophaea metastasis</t>
  </si>
  <si>
    <t>Cinclosomatidae</t>
  </si>
  <si>
    <t>Spotted Quail-thrush</t>
  </si>
  <si>
    <t>Cinclosoma punctatum</t>
  </si>
  <si>
    <t>Tytonidae</t>
  </si>
  <si>
    <t>Australian Greater Sooty Owl</t>
  </si>
  <si>
    <t>Tyto tenebricosa tenebricosa</t>
  </si>
  <si>
    <t>Southern Masked Owl</t>
  </si>
  <si>
    <t>Tyto novaehollandiae novaehollandiae</t>
  </si>
  <si>
    <t>Maluridae</t>
  </si>
  <si>
    <t>East Coast Southern Emu-wren</t>
  </si>
  <si>
    <t>Stipiturus malachurus malachurus</t>
  </si>
  <si>
    <t>Ptilonorhynchidae</t>
  </si>
  <si>
    <t>Southern Satin Bowerbird</t>
  </si>
  <si>
    <t>Ptilonorhynchus violaceus violaceus</t>
  </si>
  <si>
    <t>Psophodidae</t>
  </si>
  <si>
    <t>South-east Eastern Whipbird</t>
  </si>
  <si>
    <t>Psophodes olivaceus olivaceus</t>
  </si>
  <si>
    <t>Petroica rosea</t>
  </si>
  <si>
    <t>Pachycephalidae</t>
  </si>
  <si>
    <t>Northern Olive Whistler</t>
  </si>
  <si>
    <t>Pachycephala olivacea macphersoniana</t>
  </si>
  <si>
    <t>Orthonychidae</t>
  </si>
  <si>
    <t>Australian Logrunner</t>
  </si>
  <si>
    <t>Orthonyx temminckii</t>
  </si>
  <si>
    <t>Strigidae</t>
  </si>
  <si>
    <t>Powerful Owl</t>
  </si>
  <si>
    <t>Ninox strenua</t>
  </si>
  <si>
    <t>Bell Miner</t>
  </si>
  <si>
    <t>Manorina melanophrys</t>
  </si>
  <si>
    <t>Paradisaeidae</t>
  </si>
  <si>
    <t>Paradise Riflebird</t>
  </si>
  <si>
    <t>Lophorina paradisea</t>
  </si>
  <si>
    <t>Eastern Yellow-tufted Honeyeater</t>
  </si>
  <si>
    <t>Lichenostomus melanops melanops</t>
  </si>
  <si>
    <t>Gippsland Yellow-tufted Honeyeater</t>
  </si>
  <si>
    <t>Lichenostomus melanops gippslandicus</t>
  </si>
  <si>
    <t>Columbidae</t>
  </si>
  <si>
    <t>Wonga Pigeon</t>
  </si>
  <si>
    <t>Leucosarcia melanoleuca</t>
  </si>
  <si>
    <t>Acanthizidae</t>
  </si>
  <si>
    <t>Southern Brown Gerygone</t>
  </si>
  <si>
    <t>Gerygone mouki richmondi</t>
  </si>
  <si>
    <t>Corvidae</t>
  </si>
  <si>
    <t>New England Forest Raven</t>
  </si>
  <si>
    <t>Corvus tasmanicus boreus</t>
  </si>
  <si>
    <t>Gang-gang Cockatoo</t>
  </si>
  <si>
    <t>Callocephalon fimbriatum</t>
  </si>
  <si>
    <t>Kangaroo Island Western Whipbird</t>
  </si>
  <si>
    <t>Psophodes nigrogularis lashmari</t>
  </si>
  <si>
    <t>decline between 0 and 10 years/3 gens exceeds 30%, may exceed 50%</t>
  </si>
  <si>
    <t>Kangaroo Island Southern Emu-wren</t>
  </si>
  <si>
    <t>Stipiturus malachurus halmaturinus</t>
  </si>
  <si>
    <t>Artamidae</t>
  </si>
  <si>
    <t>Kangaroo Island Grey Currawong</t>
  </si>
  <si>
    <t>Strepera versicolor halmaturina</t>
  </si>
  <si>
    <t>severe fire overlap &gt;50% so overall population loss may exceed 30% or 50%</t>
  </si>
  <si>
    <t>Kangaroo Island Spotted Scrubwren</t>
  </si>
  <si>
    <t>Sericornis frontalis ashbyi</t>
  </si>
  <si>
    <t>Kangaroo Island Crimson Rosella</t>
  </si>
  <si>
    <t>Platycercus elegans melanopterus</t>
  </si>
  <si>
    <t>South Australian Crescent Honeyeater</t>
  </si>
  <si>
    <t>Phylidonyris pyrrhopterus halmaturina</t>
  </si>
  <si>
    <t>Kangaroo Island New Holland Honeyeater</t>
  </si>
  <si>
    <t>Phylidonyris novaehollandiae campbelli</t>
  </si>
  <si>
    <t>Kangaroo Island White-eared Honeyeater</t>
  </si>
  <si>
    <t>Nesoptilotis leucotis thomasi</t>
  </si>
  <si>
    <t>Kangaroo Island Brown-headed Honeyeater</t>
  </si>
  <si>
    <t>Melithreptus brevirostris magnirostris</t>
  </si>
  <si>
    <t>Kangaroo Island Superb Fairy-wren</t>
  </si>
  <si>
    <t>Malurus cyaneus ashbyi</t>
  </si>
  <si>
    <t>Kangaroo Island Purple-gaped Honeyeater</t>
  </si>
  <si>
    <t>Lichenostomus cratitius cratitius</t>
  </si>
  <si>
    <t>Kangaroo Island Shy Heathwren</t>
  </si>
  <si>
    <t>Calamanthus cautus halmaturina</t>
  </si>
  <si>
    <t>Kangaroo Island Little Wattlebird</t>
  </si>
  <si>
    <t>Anthochaera chrysoptera halmaturina</t>
  </si>
  <si>
    <t>Kangaroo Island Red Wattlebird</t>
  </si>
  <si>
    <t>Anthochaera carunculata clelandi</t>
  </si>
  <si>
    <t>Kangaroo Island Brown Thornbill</t>
  </si>
  <si>
    <t>Acanthiza pusilla zietzi</t>
  </si>
  <si>
    <t>Kangaroo Island Striated Thornbill</t>
  </si>
  <si>
    <t>Acanthiza lineata whitei</t>
  </si>
  <si>
    <t>South-eastern Glossy Black-Cockatoo</t>
  </si>
  <si>
    <t>Calyptorhynchus lathami lathami</t>
  </si>
  <si>
    <t>Mainland Ground Parrot</t>
  </si>
  <si>
    <t>Pezoporus wallicus wallicus</t>
  </si>
  <si>
    <t>Red-browed Treecreeper</t>
  </si>
  <si>
    <t>Climacteris erythrops</t>
  </si>
  <si>
    <t>Lowland Pilotbird</t>
  </si>
  <si>
    <t>Pycnoptilus floccosus sandlandi</t>
  </si>
  <si>
    <t>Pilotbird</t>
  </si>
  <si>
    <t>Pycnoptilus floccosus</t>
  </si>
  <si>
    <t>Rockwarbler</t>
  </si>
  <si>
    <t>Origma solitaria</t>
  </si>
  <si>
    <t>Central Superb Lyrebird</t>
  </si>
  <si>
    <t>Menura novaehollandiae novaehollandiae</t>
  </si>
  <si>
    <t>Upland Pilotbird</t>
  </si>
  <si>
    <t>Pycnoptilus floccosus floccosus</t>
  </si>
  <si>
    <t>Sericornis citreogularis citreogularis</t>
  </si>
  <si>
    <r>
      <t xml:space="preserve">Range map </t>
    </r>
    <r>
      <rPr>
        <b/>
        <sz val="11"/>
        <color rgb="FFFF0000"/>
        <rFont val="Calibri"/>
        <family val="2"/>
        <scheme val="minor"/>
      </rPr>
      <t xml:space="preserve">clipped to veg </t>
    </r>
    <r>
      <rPr>
        <sz val="11"/>
        <color theme="1"/>
        <rFont val="Calibri"/>
        <family val="2"/>
        <scheme val="minor"/>
      </rPr>
      <t>(using ERIN's 'Known and Likely to occur' for listed mammals)</t>
    </r>
  </si>
  <si>
    <r>
      <t xml:space="preserve">UoM SDM </t>
    </r>
    <r>
      <rPr>
        <sz val="11"/>
        <color theme="1"/>
        <rFont val="Calibri"/>
        <family val="2"/>
        <scheme val="minor"/>
      </rPr>
      <t>(based on observations collated from multiple data depositories)</t>
    </r>
  </si>
  <si>
    <r>
      <t xml:space="preserve">Range map </t>
    </r>
    <r>
      <rPr>
        <sz val="11"/>
        <color theme="1"/>
        <rFont val="Calibri"/>
        <family val="2"/>
        <scheme val="minor"/>
      </rPr>
      <t>(using IUCN EoO for frogs, reptiles, fish; using McCormack for crayfish; using Birdlife data for birds; using ERIN's 'Known and Likely to occur' for listed mammals. Exceptions noted in Comments column)</t>
    </r>
  </si>
  <si>
    <t>Mammal</t>
  </si>
  <si>
    <t>Dasyuridae</t>
  </si>
  <si>
    <t>Agile Antechinus</t>
  </si>
  <si>
    <t>Antechinus agilis</t>
  </si>
  <si>
    <t>4 divergent lineages, taxonomic consequences still unclear - assess as single species</t>
  </si>
  <si>
    <t>SDM clipped to veg</t>
  </si>
  <si>
    <t>Silver-headed Antechinus</t>
  </si>
  <si>
    <t>Antechinus argentus</t>
  </si>
  <si>
    <t>2 divergent lineages (Kroombit/Bulburin and Blackdown) that are geographcally disjunct, taxonomic consequences still unclear - assess as single species</t>
  </si>
  <si>
    <t>range clipped to veg</t>
  </si>
  <si>
    <t>Mainland Dusky Antechinus</t>
  </si>
  <si>
    <t>3 ESUs, northelry one could be a distinct species but unclear; assess of whole range</t>
  </si>
  <si>
    <t>Brown Antechinus</t>
  </si>
  <si>
    <t>Antechinus stuartii</t>
  </si>
  <si>
    <t>2 divergent lineages thar are likely species; assess fire overlap for the two lineages as well as current whole species</t>
  </si>
  <si>
    <t>Antechinus stuartii (North)</t>
  </si>
  <si>
    <t>Antechinus stuartii (South)</t>
  </si>
  <si>
    <t>Burramyidae</t>
  </si>
  <si>
    <t>Mountain Pygmy-possum</t>
  </si>
  <si>
    <t>Burramys parvus</t>
  </si>
  <si>
    <t>3 ESUs; assess fire overlap on species</t>
  </si>
  <si>
    <t>Eastern Pygmy Possum</t>
  </si>
  <si>
    <t>Cercartetus nanus</t>
  </si>
  <si>
    <t>2 very divergent lineages north and south of Blue Mountains that are likely species; carry out spatial analysis on northern and southern lineages as well as whole species as currently recognised</t>
  </si>
  <si>
    <t>Cercartetus nanus (north)</t>
  </si>
  <si>
    <t>Cercartetus nanus (south)</t>
  </si>
  <si>
    <t>Spot-tailed Quoll, Spotted-tail Quoll, Tiger Quoll (southeastern mainland population)</t>
  </si>
  <si>
    <t>Vespertilionade</t>
  </si>
  <si>
    <t>Eastern False Pipistrelle</t>
  </si>
  <si>
    <t>Falsistrellus tasmaniensis</t>
  </si>
  <si>
    <t>Muridae</t>
  </si>
  <si>
    <t>Broad-toothed Rat (mainland), Tooarrana</t>
  </si>
  <si>
    <t>Mastacomys fuscus mordicus</t>
  </si>
  <si>
    <t>Macopodidae</t>
  </si>
  <si>
    <t>Parma Wallaby</t>
  </si>
  <si>
    <t>Notomacropus parma</t>
  </si>
  <si>
    <t>Ornithorhynchidae</t>
  </si>
  <si>
    <t>Platypus</t>
  </si>
  <si>
    <t>Ornithorhynchus anatinus</t>
  </si>
  <si>
    <t>3 ESUs; carry out spatial intersect with current species</t>
  </si>
  <si>
    <t>Peramelidae</t>
  </si>
  <si>
    <t>Long-nosed Bandicoot</t>
  </si>
  <si>
    <t xml:space="preserve">Perameles nasuta </t>
  </si>
  <si>
    <t>Pseudocheiridae</t>
  </si>
  <si>
    <t>Greater Glider</t>
  </si>
  <si>
    <t>Petauroides volans</t>
  </si>
  <si>
    <t>2 candidate spp., the southern one with 3 ESUs; do the southern candidate sp. See map in Catullo report for distributional limits</t>
  </si>
  <si>
    <t>Greater Glider (northern subspecies)</t>
  </si>
  <si>
    <t>Petauroides volans minor</t>
  </si>
  <si>
    <t>Greater Glider (southern subspecies)</t>
  </si>
  <si>
    <t>Petauroides volans volans</t>
  </si>
  <si>
    <t>Petauridae</t>
  </si>
  <si>
    <t>Yellow-bellied Glider</t>
  </si>
  <si>
    <t>Petaurus australis (SE Australia)</t>
  </si>
  <si>
    <t>for spatial fire overlap exclude Wet Tropics subspp.</t>
  </si>
  <si>
    <t>Sugar Glider</t>
  </si>
  <si>
    <t>Petaurus breviceps (newly classified)</t>
  </si>
  <si>
    <t>central coastal NSW; see map in Catullo report for distribution</t>
  </si>
  <si>
    <t>Brush-tailed Rock-wallaby</t>
  </si>
  <si>
    <t>Petrogale penicillata</t>
  </si>
  <si>
    <t>3 ESUs; carry out spatial intersect with  current species</t>
  </si>
  <si>
    <t>Phascolarctidae</t>
  </si>
  <si>
    <t>Koala (entire distribution)</t>
  </si>
  <si>
    <t>Phascolarctos cinereus</t>
  </si>
  <si>
    <t>4 weakly divergent ESUs; carry out spatial intersect with whole species, and listed population</t>
  </si>
  <si>
    <t>Koala (listed distribution)</t>
  </si>
  <si>
    <t>Phascolarctos cinereus (listed pop)</t>
  </si>
  <si>
    <t>Vespertilionidae</t>
  </si>
  <si>
    <t>Golden-tipped Bat</t>
  </si>
  <si>
    <t>Phoniscus papuensis</t>
  </si>
  <si>
    <t>Potoroidae</t>
  </si>
  <si>
    <t>Long-footed Potoroo</t>
  </si>
  <si>
    <t>Potorous longipes</t>
  </si>
  <si>
    <t>Long-nosed Potoroo (Qld, NSW)</t>
  </si>
  <si>
    <t>3 candidate species; carry out spatial intersect with northern and southern lineages on mainland</t>
  </si>
  <si>
    <t>Potorous tridactylus tridactylus</t>
  </si>
  <si>
    <t>Long-nosed Potoroo (NSW, Vic)</t>
  </si>
  <si>
    <t>Potorous tridactylus trisulcatus</t>
  </si>
  <si>
    <t>Smoky Mouse, Konoom</t>
  </si>
  <si>
    <t>Pseudomys fumeus</t>
  </si>
  <si>
    <t>2 ESUs; carry out spatial intersect on current species</t>
  </si>
  <si>
    <t>New Holland Mouse, Pookila</t>
  </si>
  <si>
    <t>Pseudomys novaehollandiae</t>
  </si>
  <si>
    <t>Hastings River Mouse, Koontoo</t>
  </si>
  <si>
    <t>Pseudomys oralis</t>
  </si>
  <si>
    <t>No ESUs; carry out spatial intersect on current species</t>
  </si>
  <si>
    <t>Pteropodidae</t>
  </si>
  <si>
    <t>Grey-headed Flying-fox</t>
  </si>
  <si>
    <t>Pteropus poliocephalus</t>
  </si>
  <si>
    <t>ERIN range clipped to veg</t>
  </si>
  <si>
    <t>Swamp Rat</t>
  </si>
  <si>
    <t>Rattus lutreolus</t>
  </si>
  <si>
    <t>Rhinolophidae</t>
  </si>
  <si>
    <t>Eastern Horseshoe-bat</t>
  </si>
  <si>
    <t>Rhinolophus megaphyllus</t>
  </si>
  <si>
    <t>Greater Broad-nosed Bat</t>
  </si>
  <si>
    <t>Scoteanax rueppellii</t>
  </si>
  <si>
    <t>Eastern Broad-nosed Bat</t>
  </si>
  <si>
    <t>Scotorepens orion</t>
  </si>
  <si>
    <t>Kangaroo Island Dunnart</t>
  </si>
  <si>
    <t>White-footed Dunnart</t>
  </si>
  <si>
    <t>Sminthopsis leucopus</t>
  </si>
  <si>
    <t>Tachyglossidae</t>
  </si>
  <si>
    <t>Kangaroo Island Echidna</t>
  </si>
  <si>
    <t>Tachyglossus aculeatus multiaculeatus</t>
  </si>
  <si>
    <t>Phalangeridae</t>
  </si>
  <si>
    <t>Short-eared Possum</t>
  </si>
  <si>
    <t>Trichosurus caninus</t>
  </si>
  <si>
    <t>Large Forest Bat</t>
  </si>
  <si>
    <t>Vespadelus darlingtoni</t>
  </si>
  <si>
    <t>Eastern Forest Bat</t>
  </si>
  <si>
    <t>Vespadelus pumilus</t>
  </si>
  <si>
    <t>Little Pygmy-possum</t>
  </si>
  <si>
    <t>Cercartetus lepidus</t>
  </si>
  <si>
    <t>Mainland and KI very divergent from Tasmanian population; carry out spatal anlysis on this lineage as well as currently recognised species</t>
  </si>
  <si>
    <t>Rufous Bettong</t>
  </si>
  <si>
    <t>Aepyprymnus rufescens</t>
  </si>
  <si>
    <t>Little Pygmy-possum (mainland and KI)</t>
  </si>
  <si>
    <t>Cercartetus lepidus (mainland and KI)</t>
  </si>
  <si>
    <t>Red-necked Wallaby</t>
  </si>
  <si>
    <t>Notamacropus rufogriseus</t>
  </si>
  <si>
    <t>Southern Forest Bat</t>
  </si>
  <si>
    <t>Vespadelus regulus</t>
  </si>
  <si>
    <t>Gould's Long-eared Bat</t>
  </si>
  <si>
    <t xml:space="preserve">Nyctophilus gouldi </t>
  </si>
  <si>
    <t>Large-eared Pied Bat, Large Pied Bat</t>
  </si>
  <si>
    <t>Chalinolobus dwyeri</t>
  </si>
  <si>
    <t>Swamp Wallaby (Black Wallaby)</t>
  </si>
  <si>
    <t>Wallabia bicolor</t>
  </si>
  <si>
    <t>Bush Rat</t>
  </si>
  <si>
    <t>Rattus fuscipes</t>
  </si>
  <si>
    <t>Red-necked Pademelon</t>
  </si>
  <si>
    <t>Thylogale thetis</t>
  </si>
  <si>
    <t>Vombatidae</t>
  </si>
  <si>
    <t>Common Wombat</t>
  </si>
  <si>
    <t>Vombatus ursinus</t>
  </si>
  <si>
    <t>Acrobatidae</t>
  </si>
  <si>
    <t>Feathertail Glider</t>
  </si>
  <si>
    <t>Acrobates pygmaeus</t>
  </si>
  <si>
    <t>Southern Brown Bandicoot (eastern), Southern Brown Bandicoot (south-eastern)</t>
  </si>
  <si>
    <t>Isoodon obesulus obesulus</t>
  </si>
  <si>
    <t>using range map of Currey et al 2018 makes fire overlap reduce substantially. Currey, K., Kendal, D., Van der Ree, R., and Lentini, P. E. (2018). Land manager perspectives on conflict mitigation strategies for urban flying-fox camps. Diversity 10, 39.</t>
  </si>
  <si>
    <t>checked against SDM constructed by Hohnen, R., Murphy, B. P., Legge, S., Dickman, C. R., Hodgens, P., Groffen, H., Molsher, R., J.P., G., and Woinarski, J. C. Z. (2020). Environmental factors influencing the distribution of the Kangaroo Island dunnart (Sminthopsis fuliginosus aitkeni). Australian Mammalagy In press.</t>
  </si>
  <si>
    <t>using map supplied by Harry Moore, Dale Nimmo, who developed an SDM for the taxon</t>
  </si>
  <si>
    <t>using point records supplied by Stephane Batista</t>
  </si>
  <si>
    <t>listed pop</t>
  </si>
  <si>
    <t>Potorous tridactylus (mainland)</t>
  </si>
  <si>
    <t>mapping selection</t>
  </si>
  <si>
    <r>
      <t xml:space="preserve">UoM SDM </t>
    </r>
    <r>
      <rPr>
        <sz val="11"/>
        <color rgb="FFFF0000"/>
        <rFont val="Calibri"/>
        <family val="2"/>
        <scheme val="minor"/>
      </rPr>
      <t>clipped to veg</t>
    </r>
    <r>
      <rPr>
        <sz val="11"/>
        <color theme="1"/>
        <rFont val="Calibri"/>
        <family val="2"/>
        <scheme val="minor"/>
      </rPr>
      <t xml:space="preserve"> (based on observations collated from multiple data depositories)</t>
    </r>
  </si>
  <si>
    <t>expert opinion</t>
  </si>
  <si>
    <t xml:space="preserve">LC leading up to fires; Fire overlap moderate, but pop decline unlikely to reach 30% </t>
  </si>
  <si>
    <t>IUCN lists it as EN; fire impacts have added to decline</t>
  </si>
  <si>
    <t>IUCN lists it as CR; fire overlap modest but should be listed anyway</t>
  </si>
  <si>
    <t>LC leading up to fires; Fire overlap modest</t>
  </si>
  <si>
    <t>IUCN lists it as CR; fire impacts have added to decline</t>
  </si>
  <si>
    <t>IUCN lists it as EN; fire impacts modest but should be listed anyway</t>
  </si>
  <si>
    <t xml:space="preserve">LC leading up to fires; Fire overlap modest, and pop decline unlikely to reach 30% </t>
  </si>
  <si>
    <t>consider</t>
  </si>
  <si>
    <t>IUCN lists it as VU; fire impacts modest but should be listed anyway</t>
  </si>
  <si>
    <t>Fire affected almost 60% of range, although only 10% as severe</t>
  </si>
  <si>
    <t>IUCN lists it as VU; fire impacts have added to decline</t>
  </si>
  <si>
    <t>Experts consider it as CR; fire impacts have added to decline</t>
  </si>
  <si>
    <t>Population declines based on expert elicitation x spatial analyses (assuming current management, and including fire class 2 as mildly burnt)</t>
  </si>
  <si>
    <t>10 yrs postfire
Most plausible</t>
  </si>
  <si>
    <t>1 yr postfire
Most plausible</t>
  </si>
  <si>
    <t>Immediately postfire
Most  plausible</t>
  </si>
  <si>
    <t>Reason</t>
  </si>
  <si>
    <t>listed as CR 3 March 2021</t>
  </si>
  <si>
    <t>part of Macquarie perch listed as EN</t>
  </si>
  <si>
    <t>Aquatic impact overlap moderate (&gt;30%)</t>
  </si>
  <si>
    <t>Listed as VU under Criterion B pop; aquatic impacts overlap modest (12%) so pop decline unlikely to be enough to cause change in listing category</t>
  </si>
  <si>
    <r>
      <t xml:space="preserve">Range map </t>
    </r>
    <r>
      <rPr>
        <sz val="11"/>
        <color theme="1"/>
        <rFont val="Calibri"/>
        <family val="2"/>
        <scheme val="minor"/>
      </rPr>
      <t>(using Birdlife data)</t>
    </r>
  </si>
  <si>
    <r>
      <rPr>
        <b/>
        <sz val="11"/>
        <color theme="1"/>
        <rFont val="Calibri"/>
        <family val="2"/>
        <scheme val="minor"/>
      </rPr>
      <t>Alpha Hulls</t>
    </r>
    <r>
      <rPr>
        <sz val="11"/>
        <color theme="1"/>
        <rFont val="Calibri"/>
        <family val="2"/>
        <scheme val="minor"/>
      </rPr>
      <t xml:space="preserve"> for birds (based on observations held by BirdLife)</t>
    </r>
  </si>
  <si>
    <t>Alpha hulls FireClass1 (No data)</t>
  </si>
  <si>
    <t>Alpha hulls FireClass2 (Unburnt)</t>
  </si>
  <si>
    <t>Alpha hulls FireClass3 (Low-Moderate)</t>
  </si>
  <si>
    <t>Alpha hulls FireClass4 (High)</t>
  </si>
  <si>
    <t>Alpha hulls FireClass5 (Very High)</t>
  </si>
  <si>
    <t>decline over 10 years/3 gens may exceed 30% (at least one lower bound exeeds 40%)</t>
  </si>
  <si>
    <t>fire overlap &lt; 30%;  overall population loss unlikely to exceed 50% even with pre-existing decline</t>
  </si>
  <si>
    <t>decline over 10 years/3 gens unlikley to exceed 30%</t>
  </si>
  <si>
    <t>fire overlap &lt;50% so overall population loss unlikely to exceed 30%</t>
  </si>
  <si>
    <t>decline over 10 years/3 gens may exceed 30%; evidence of pre-fire declines</t>
  </si>
  <si>
    <t>decline over 10 years/3 gens may exceed 30%; independent evidence of decline from Japan; taxon susceptible to future drought and fire impacts</t>
  </si>
  <si>
    <t>UNBURNT 1 yr
Most plausible</t>
  </si>
  <si>
    <t>UNBURNT 10 yrs 
Most plausible</t>
  </si>
  <si>
    <t>Population declines based on expert elicitation x spatial analyses (assuming current management, and categorising fire class 2 as unburnt)</t>
  </si>
  <si>
    <t>Yellow-throated Scrubwren</t>
  </si>
  <si>
    <t>IUCN for species</t>
  </si>
  <si>
    <t>Not assessed ; LC as species</t>
  </si>
  <si>
    <t>LC as species</t>
  </si>
  <si>
    <t>NT (as species)</t>
  </si>
  <si>
    <t>NT(as species)</t>
  </si>
  <si>
    <t>(VU as species)</t>
  </si>
  <si>
    <t>VU (as P.t.tridactylus)</t>
  </si>
  <si>
    <t>(NT as species)</t>
  </si>
  <si>
    <t>LC (as species)</t>
  </si>
  <si>
    <t>Additional data sources</t>
  </si>
  <si>
    <t>Dasyurus maculatus maculatus (SE mainland)</t>
  </si>
  <si>
    <t>Antechinus mimetes (ex swainsonii)</t>
  </si>
  <si>
    <t>Overall fire overlap is lower than 35% and severe fire overlap is lower than 15%</t>
  </si>
  <si>
    <t>Lower bound of pop decline lower than 30%, no evidence of marked pre-fire pop decline</t>
  </si>
  <si>
    <t>assess the candidate species</t>
  </si>
  <si>
    <t>assess the subspecies</t>
  </si>
  <si>
    <t>Aquatic impacts model (Ward et al)</t>
  </si>
  <si>
    <t>Other</t>
  </si>
  <si>
    <t>Overlap_No_slug_risk</t>
  </si>
  <si>
    <t>Overlap_Low_slug_risk</t>
  </si>
  <si>
    <t>Overlap_High_slug_risk</t>
  </si>
  <si>
    <t>Reptile</t>
  </si>
  <si>
    <t>Scincidae</t>
  </si>
  <si>
    <t>Blue Mountains Water Skink</t>
  </si>
  <si>
    <t>Eulamprus leuraensis</t>
  </si>
  <si>
    <t>Alpine She-oak Skink</t>
  </si>
  <si>
    <t>Cyclodomorphus praealtus</t>
  </si>
  <si>
    <t>NSW and Vic pops (the latter with 4 pops) should be managed separately; but do spatial analysis on whole species</t>
  </si>
  <si>
    <t>Elapidae</t>
  </si>
  <si>
    <t>Mustard-bellied Snake</t>
  </si>
  <si>
    <t>Drysdalia rhodogaster</t>
  </si>
  <si>
    <t>Carphodactyilidae</t>
  </si>
  <si>
    <t>Granite leaf-tailed gecko</t>
  </si>
  <si>
    <t>Saltuarius wyberba</t>
  </si>
  <si>
    <t xml:space="preserve">PopDec less than 20% at 1 year, and predicted to recover </t>
  </si>
  <si>
    <t>Red-tailed Calyptotis</t>
  </si>
  <si>
    <t>Calyptotis ruficauda</t>
  </si>
  <si>
    <t>PopDec less than 20% at 1 year, and predicted to recover well</t>
  </si>
  <si>
    <t>Moritz's Leaf-tailed Gecko</t>
  </si>
  <si>
    <t>Saltuarius moritzi</t>
  </si>
  <si>
    <t>2 ESUs but no recommendation for a taxonomic split; carry out spatial analysis on whole species</t>
  </si>
  <si>
    <t>Broad-headed Snake</t>
  </si>
  <si>
    <t>Hoplocephalus bungaroides</t>
  </si>
  <si>
    <t>2 ESUs but no recommendation for a taxonimic split; carry out spatial analysis on whole species</t>
  </si>
  <si>
    <t>Stephen's Banded Snake</t>
  </si>
  <si>
    <t>Hoplocephalus stephensii</t>
  </si>
  <si>
    <t>2 ESUs but no recommendation for a taxonomic split; carry out spatial analysis on whole secies</t>
  </si>
  <si>
    <t>Alpine Bog Skink</t>
  </si>
  <si>
    <t>Pseudemoia cryodroma</t>
  </si>
  <si>
    <t>Genetically distinct species, with poor sampling ; no recommendation for taxonomic split</t>
  </si>
  <si>
    <t>Rainforest Cool-skink</t>
  </si>
  <si>
    <t>Harrisoniascincus zia</t>
  </si>
  <si>
    <t>2 ESUs but no clear recommendation for a taxonomic split; carry out spatial analysis on whole species</t>
  </si>
  <si>
    <t>Kaputar Rock Skink</t>
  </si>
  <si>
    <t>Egernia roomi</t>
  </si>
  <si>
    <t>Cr at NSW state</t>
  </si>
  <si>
    <t>Kate's leaftail gecko</t>
  </si>
  <si>
    <t>Saltuarius kateae</t>
  </si>
  <si>
    <t>Mountain Skink</t>
  </si>
  <si>
    <t>Liopholis montana</t>
  </si>
  <si>
    <t>Three-toed Snake-tooth Skink</t>
  </si>
  <si>
    <t>Coeranoscincus reticulatus</t>
  </si>
  <si>
    <t>Glossy Grass Skink</t>
  </si>
  <si>
    <t>Pseudemoia rawlinsoni</t>
  </si>
  <si>
    <t>Swamp Skink</t>
  </si>
  <si>
    <t>Lissolepis coventryi</t>
  </si>
  <si>
    <t>Broad-tailed Gecko</t>
  </si>
  <si>
    <t>Phyllurus platurus</t>
  </si>
  <si>
    <t>Nangur Spiny Skink</t>
  </si>
  <si>
    <t>Nangura spinosa</t>
  </si>
  <si>
    <t>Already CR</t>
  </si>
  <si>
    <t>2 candiate species (Oakview NP and Nangura NP); carry out spatial analyes on the candidate species as well as whole currently recognised species</t>
  </si>
  <si>
    <t>Southern Water-skink</t>
  </si>
  <si>
    <t>Eulamprus tympanum </t>
  </si>
  <si>
    <t>no genetic support for current subspecies; pop in namadgi is genetically distinct, but no recommendation for taxonomic split.</t>
  </si>
  <si>
    <t>one subspecies is listed as EN</t>
  </si>
  <si>
    <t>Cunnningham's Skink</t>
  </si>
  <si>
    <t>Egernia cunninghami (Clade B)</t>
  </si>
  <si>
    <t>Chelidae</t>
  </si>
  <si>
    <t>Manning River Helmeted Turtle, Purvis' turtle</t>
  </si>
  <si>
    <t>Wollumbinia purvisi</t>
  </si>
  <si>
    <t>PopDec approaching 50% by 3 generations; is listed as DD by IUCN; fire impacts modest but other factors contributing to decline</t>
  </si>
  <si>
    <t>Egernia cunninghami</t>
  </si>
  <si>
    <t>3 clades with deep divergence; Clade A is undescribed, Clades B and C are candidate species; Carry out spatial analyses on all three clades, as well as species overall</t>
  </si>
  <si>
    <t>Georges' Snapping Turtle, Bellinger River Snapping Turtle, Georges Helmeted Turtle</t>
  </si>
  <si>
    <t>Wollumbinia georgesi</t>
  </si>
  <si>
    <t>Egernia cunninghami (Clade C)</t>
  </si>
  <si>
    <t>Egernia cunninghami (Clade A)</t>
  </si>
  <si>
    <t>Oakview leaf-tailed</t>
  </si>
  <si>
    <t>Phyllurus kabikabi</t>
  </si>
  <si>
    <t>Bell's Turtle, Western Sawshelled Turtle, Namoi River Turtle, Bell's Saw-shelled Turtle</t>
  </si>
  <si>
    <t>Wollumbinia belli</t>
  </si>
  <si>
    <t>Ringed thin-tail gecko</t>
  </si>
  <si>
    <t>Phyllurus caudiannulatus</t>
  </si>
  <si>
    <t>Guthega Skink</t>
  </si>
  <si>
    <t>Liopholis guthega</t>
  </si>
  <si>
    <t>Long Sunskink</t>
  </si>
  <si>
    <t>Lampropholis elongata</t>
  </si>
  <si>
    <t>Diplodactylidae</t>
  </si>
  <si>
    <t>Lesueur's gecko</t>
  </si>
  <si>
    <t>Amalosia lesueurii</t>
  </si>
  <si>
    <t>Unless there is an underlying, ongoing decline for other reasons, the fire overlaps are likely insufficient to cause the taxon to be eligible for listing</t>
  </si>
  <si>
    <t>Pygmy copperhead</t>
  </si>
  <si>
    <t>Austrelaps labialis</t>
  </si>
  <si>
    <t>Highland copperhead</t>
  </si>
  <si>
    <t>Austrelaps ramsayi</t>
  </si>
  <si>
    <t>Southern forest cool-skink</t>
  </si>
  <si>
    <t>Carinascincus coventryi</t>
  </si>
  <si>
    <t>Mainland she-oak skink</t>
  </si>
  <si>
    <t>Cyclodomorphus michaeli</t>
  </si>
  <si>
    <t>Eastern Crevice Skink</t>
  </si>
  <si>
    <t xml:space="preserve">Egernia mcpheei </t>
  </si>
  <si>
    <t>Yellow-bellied water-skink</t>
  </si>
  <si>
    <t>Eulamprus heatwolei</t>
  </si>
  <si>
    <t>2 ESUs but no recommendation for taxonomic split; carry our spatial analysis on whole species</t>
  </si>
  <si>
    <t>Alpine water skink</t>
  </si>
  <si>
    <t>Eulamprus kosciuskoi</t>
  </si>
  <si>
    <t>Northern and southern disjunct pops deeply divergent; carry out spatial analysis on these two lineages, as well as on the currently describe distribution.</t>
  </si>
  <si>
    <t>Eulamprus kosciuskoi (North)</t>
  </si>
  <si>
    <t>Eulamprus kosciuskoi (South)</t>
  </si>
  <si>
    <t>Weasel skink</t>
  </si>
  <si>
    <t>Saproscincus mustelinus</t>
  </si>
  <si>
    <t>Rose's shadeskink</t>
  </si>
  <si>
    <t>Saproscincus rosei</t>
  </si>
  <si>
    <t>Gully skink</t>
  </si>
  <si>
    <t>Saproscincus spectabilis</t>
  </si>
  <si>
    <t>Murray three-toed skink</t>
  </si>
  <si>
    <t>Silviascincus murrayi</t>
  </si>
  <si>
    <t>Border Thick-tailed Gecko</t>
  </si>
  <si>
    <t>Uvidicolus sphyrurus</t>
  </si>
  <si>
    <t>extent (fire classes 2,3,4,5)</t>
  </si>
  <si>
    <t>extent (fire classes 3,4,5)</t>
  </si>
  <si>
    <t>acquatic impacts</t>
  </si>
  <si>
    <t>SDM clipped to IUCN range map</t>
  </si>
  <si>
    <t>Range map (using IUCN EoO for reptiles, curated by Reid Tingley)</t>
  </si>
  <si>
    <t>IUCN range map curated by R. Tingley</t>
  </si>
  <si>
    <t>Range map (using IUCN range map, curated by S. Macdonald)</t>
  </si>
  <si>
    <t>UoM SDM clipped to IUCN range maps (curated by S. macDonald)</t>
  </si>
  <si>
    <t>NT as species</t>
  </si>
  <si>
    <r>
      <rPr>
        <sz val="11"/>
        <color rgb="FFFF0000"/>
        <rFont val="Calibri"/>
        <family val="2"/>
        <scheme val="minor"/>
      </rPr>
      <t>Draft LA suggest EN.</t>
    </r>
    <r>
      <rPr>
        <sz val="11"/>
        <rFont val="Calibri"/>
        <family val="2"/>
        <scheme val="minor"/>
      </rPr>
      <t xml:space="preserve"> Population decline approaching 50%; Gillespie et al recommend EN</t>
    </r>
  </si>
  <si>
    <t>Popdecline may exceed 30%; IUCN lists it as VU</t>
  </si>
  <si>
    <r>
      <rPr>
        <sz val="11"/>
        <color rgb="FFFF0000"/>
        <rFont val="Calibri"/>
        <family val="2"/>
        <scheme val="minor"/>
      </rPr>
      <t xml:space="preserve">Draft LA suggests CR. </t>
    </r>
    <r>
      <rPr>
        <sz val="11"/>
        <rFont val="Calibri"/>
        <family val="2"/>
        <scheme val="minor"/>
      </rPr>
      <t>Popdecline could exceed 80% between fire impacts and other causes of decline; IUCN and Gillespie list as CR</t>
    </r>
  </si>
  <si>
    <t>Already listed as CR</t>
  </si>
  <si>
    <t>Popdecline approaching 30%; other evidence of ongoing decline</t>
  </si>
  <si>
    <t>Popdecline unlikely to exceed 30% and recovers after fire</t>
  </si>
  <si>
    <r>
      <rPr>
        <sz val="11"/>
        <color rgb="FFFF0000"/>
        <rFont val="Calibri"/>
        <family val="2"/>
        <scheme val="minor"/>
      </rPr>
      <t xml:space="preserve">Draft LA suggests not eligible. </t>
    </r>
    <r>
      <rPr>
        <sz val="11"/>
        <rFont val="Calibri"/>
        <family val="2"/>
        <scheme val="minor"/>
      </rPr>
      <t>Popdecline approaches 30% but recovers after fire</t>
    </r>
  </si>
  <si>
    <t>Fire overlap (especially with severe fire) modest</t>
  </si>
  <si>
    <t>Fire overlap high</t>
  </si>
  <si>
    <t>Potentially a high fire overlap; IUCN consider CR</t>
  </si>
  <si>
    <t>Invalid taxon</t>
  </si>
  <si>
    <t>listed as EN Feb 2021</t>
  </si>
  <si>
    <t>EN as species</t>
  </si>
  <si>
    <t>VU as species</t>
  </si>
  <si>
    <t>VU as previous L.littlejohni</t>
  </si>
  <si>
    <t>Sminthopsis fuligonosus aitkeni</t>
  </si>
  <si>
    <t>FPAL</t>
  </si>
  <si>
    <t>Y</t>
  </si>
  <si>
    <t>N</t>
  </si>
  <si>
    <t>Population declines based on expert elicitation x spatial analyses (assuming current management, and excluding fire class 2 as mildly burnt)</t>
  </si>
  <si>
    <t>Sort order</t>
  </si>
  <si>
    <t>CriterionA</t>
  </si>
  <si>
    <t>Criterion B</t>
  </si>
  <si>
    <t>Criterion C</t>
  </si>
  <si>
    <t>Criterion D</t>
  </si>
  <si>
    <t>decline between 0 and 10 years/3 gens exceeds 30%, may exceed 50%; more likley to be eligible undet CrA than CrD.</t>
  </si>
  <si>
    <t>decline over 10 years/3 gens approaches 30% but unlikely to exceed 30%; unlikley to be eligble under CrB as decline is probably not continuing</t>
  </si>
  <si>
    <t>decline between 0 and 10 years/3 gens may exceed 50% (and note that spatial analysis underestimates impact because most birds are on KI not the mainland), so may qualify for uplisting under CrA. Pop size probably not less than 2500, so unlikely to qualify for uplisting under Crc</t>
  </si>
  <si>
    <t>decline between 0 and 10 years/3 gens does not exceed 80% so wont qualify for uplisting under CrA; population size unlikely to be less than 50 so wont qualify for uplisting under CrD</t>
  </si>
  <si>
    <t>decline between 0 and 10 years/3 gens does not exceed 80% so wont qualify for uplisting under CrA; AoO may be shrunk but not enough to cause uplisting under CrB</t>
  </si>
  <si>
    <t>already CR in BAP; could assess subspecies of this listed species</t>
  </si>
  <si>
    <t xml:space="preserve">IUCN Listing </t>
  </si>
  <si>
    <t>Action Plan or other expert assessment</t>
  </si>
  <si>
    <t>EoO</t>
  </si>
  <si>
    <t>AoO</t>
  </si>
  <si>
    <t>PopSize</t>
  </si>
  <si>
    <t>&gt;10,000</t>
  </si>
  <si>
    <t>Currently listed as EN; Lintermans list as CR; fire impacts minor and unlikely to cause shift in listing category in either Criterion B or A, but possibly should be listed as CR anyway</t>
  </si>
  <si>
    <t>8-28</t>
  </si>
  <si>
    <t>6000-9000</t>
  </si>
  <si>
    <t>16</t>
  </si>
  <si>
    <t>5000-7000</t>
  </si>
  <si>
    <t>1000-2000</t>
  </si>
  <si>
    <t>1512 but not severely fragmented and at &gt; 10 locations</t>
  </si>
  <si>
    <t>Aquatic impact overlap modest (25%), and population pre-fire stable</t>
  </si>
  <si>
    <t>IUCN list it as EN against Criterion B; overall post-fire pop decline could exceed 30% by 10 years/3 generations</t>
  </si>
  <si>
    <t>4000-10000</t>
  </si>
  <si>
    <t>15-36</t>
  </si>
  <si>
    <t>IUCN and Lintermans already list it as CR against Criteria A and B; fire impacts additional</t>
  </si>
  <si>
    <t>Listed as EN, Lintermans list as CR; fire impacts on less than 10% of range so unlikely to cause shift in listing category either under Criterion A or B, but declines due to other factors may make it eligible for listing as CR</t>
  </si>
  <si>
    <t>Pop decline could exceed 80%; currently a subset of G. terenasus, but may warrant separate listing</t>
  </si>
  <si>
    <t>yes (but listed march 2021)</t>
  </si>
  <si>
    <t>1.7-4</t>
  </si>
  <si>
    <t xml:space="preserve">Maccullochella ikei </t>
  </si>
  <si>
    <t>IUCN already list it as EN against Criteria B; fire impacts additional</t>
  </si>
  <si>
    <t>IUCN already list it as CR against Criteria B; fire impacts additional</t>
  </si>
  <si>
    <t>already CR under EPBCA</t>
  </si>
  <si>
    <t>Currently listed under EPBCA as EN partly on basis of Criterion B;  fire-induced pop decline of 30-50% unlikely shift it into CR</t>
  </si>
  <si>
    <t>172-788</t>
  </si>
  <si>
    <t>Taxon of which this is a candidate species is already listed under EPBCA as EN partly on basis of Crierion B; fire impacts unlikley to shift it to CR</t>
  </si>
  <si>
    <t>68-200</t>
  </si>
  <si>
    <t>IUCN already list it as EN and Lintermans as VU under Criteria A and B; fire impacts additional</t>
  </si>
  <si>
    <t>Already listed as EN under Criterion B, and pre-fire pop was declining, but fire-caused pop decline unlikely to be enough to shift it to CR</t>
  </si>
  <si>
    <t xml:space="preserve">Prototroctes maraena </t>
  </si>
  <si>
    <t>500-2000</t>
  </si>
  <si>
    <t>IUCN and Lintermans already list it as EN under Criterion B; fire impacts additional</t>
  </si>
  <si>
    <t>&lt;250</t>
  </si>
  <si>
    <t>40-499</t>
  </si>
  <si>
    <t>Already listed on Criteria B, unlikely to meet the thresholds for uplisting on Cr B, but popDec may exceed 50%, so may be eligoble  under Cr A</t>
  </si>
  <si>
    <t>Already listed on Criteria B, unlikely to meet the thresholds for uplisting on Cr B, but future trajectory predicted to be poor, so may warrant reassessment</t>
  </si>
  <si>
    <t>IUCN list taxon as EN under CrB; PopDec may exceed 50%</t>
  </si>
  <si>
    <t>&gt;1400</t>
  </si>
  <si>
    <t>(VU)</t>
  </si>
  <si>
    <t>Already listed as VU under EPBCA; pop decline unlikley to be enough to shift the taxon to EN</t>
  </si>
  <si>
    <t>reason for listing not detailed</t>
  </si>
  <si>
    <t>Already listed as VU under EPBCA; unless there is an underlying, ongoing decline for other reasons, the fire overlaps are likely insufficient to cause the taxon to be eligible for listing</t>
  </si>
  <si>
    <t>Already listed under EPBCA and IUCN as VU against CR B; Fire impacts may cause a decline in AoO sufficent to meet threshold for EN</t>
  </si>
  <si>
    <t>Listed as CR by IUCN against CrB; fire impacts modest, but declining for other reasons, should be listed anyway</t>
  </si>
  <si>
    <t>Listed as DD by IUCN and potentially eligible against CrB; fire impacts modest, but may be declining for other reasons, should probably be assessed</t>
  </si>
  <si>
    <t>Already listed as EN by IUCN; fire impacts modest but other factors contributing to decline</t>
  </si>
  <si>
    <t>CR(NSW)</t>
  </si>
  <si>
    <t>Already listed as CR by NSW gov; fire impacts modest but should be assessed anyway</t>
  </si>
  <si>
    <t>PopDec less than 20% at 1 year, but recovery poor and IUCN list as NT under Cr A</t>
  </si>
  <si>
    <t>&lt;2000 but not declining?</t>
  </si>
  <si>
    <t>IUCN list as NT under Cr B for limited AoO but pop not declining; Elicitation suggests PopDec less than 20% at 1 year, but recovery poor, so may warrant assessment</t>
  </si>
  <si>
    <t>IUCN list as NT under Cr B for limited AoO but pop not declining; Elicitation suggests PopDec less than 20% at 1 year, and good recovery likley, so probably not needing assessment</t>
  </si>
  <si>
    <t>Estimated PopDec well below 30%</t>
  </si>
  <si>
    <t>Already listed on Criteria B, unlikely to meet the thresholds for uplisting on Cr B, but popDec may exceed 50%, so may be eligible  under Cr A</t>
  </si>
  <si>
    <r>
      <t>159</t>
    </r>
    <r>
      <rPr>
        <sz val="11"/>
        <color rgb="FF0070C0"/>
        <rFont val="Calibri"/>
        <family val="2"/>
        <scheme val="minor"/>
      </rPr>
      <t xml:space="preserve"> (32)</t>
    </r>
  </si>
  <si>
    <r>
      <t xml:space="preserve">100 </t>
    </r>
    <r>
      <rPr>
        <sz val="11"/>
        <color rgb="FF0070C0"/>
        <rFont val="Calibri"/>
        <family val="2"/>
        <scheme val="minor"/>
      </rPr>
      <t>(152)</t>
    </r>
  </si>
  <si>
    <t>Not declining; fire overlaps are likely insufficient to cause the taxon to be eligible for listing under Criteria A or B</t>
  </si>
  <si>
    <t>Not declining; fire overlaps are likely insufficient to cause the taxon to be eligible for listing. The AoO shown is probably a large underestimate, the species tolerates disturbance; unlikley to qualify under Criterion B</t>
  </si>
  <si>
    <t>PopDec less than 20%; and predicted to recover, but AoO is restricted so on-ground survey essential</t>
  </si>
  <si>
    <t>PopDec less than 20% at 1 year, and predicted to recover, but AoO is restricted so on-ground survey essential</t>
  </si>
  <si>
    <t>PopDec approaches 30% at 1 year, AoO is small, but predicted to recover well</t>
  </si>
  <si>
    <t>EoO (Roberts et al 2016 unpublished)</t>
  </si>
  <si>
    <t>(EN as previous L.j)</t>
  </si>
  <si>
    <t>[VU]</t>
  </si>
  <si>
    <t>[EN]</t>
  </si>
  <si>
    <t>[NT]</t>
  </si>
  <si>
    <t>[CR]</t>
  </si>
  <si>
    <t>Popdecline unlikely to exceed 30%; listed as VU under Cr B by IUCN, but this assessment is supercedde by Gillespie, and AoO now considered &gt;&gt; 2000 km</t>
  </si>
  <si>
    <t>Popdecline unlikely to exceed 30%; AoO may be less than 2000km2, but pop expected to recover (ie no ongoing decline)</t>
  </si>
  <si>
    <r>
      <rPr>
        <sz val="11"/>
        <color rgb="FFFF0000"/>
        <rFont val="Calibri"/>
        <family val="2"/>
        <scheme val="minor"/>
      </rPr>
      <t xml:space="preserve">Draft LA suggests retaining as EN. </t>
    </r>
    <r>
      <rPr>
        <sz val="11"/>
        <rFont val="Calibri"/>
        <family val="2"/>
        <scheme val="minor"/>
      </rPr>
      <t>Population decline unlikely to exceed 80%; and AoO too large to meet CR under Cr B</t>
    </r>
  </si>
  <si>
    <t>Popdecline approaching 30%; IUCN lists it as VU under Cr B; Gillespie list as VU under CR A</t>
  </si>
  <si>
    <t>Litoria littlejohni (newly described)</t>
  </si>
  <si>
    <r>
      <rPr>
        <sz val="11"/>
        <color rgb="FFFF0000"/>
        <rFont val="Calibri"/>
        <family val="2"/>
        <scheme val="minor"/>
      </rPr>
      <t>Draft LA suggests EN.</t>
    </r>
    <r>
      <rPr>
        <sz val="11"/>
        <rFont val="Calibri"/>
        <family val="2"/>
        <scheme val="minor"/>
      </rPr>
      <t xml:space="preserve"> Population decline appoaching 50%, and eligible as EN under Cr B</t>
    </r>
  </si>
  <si>
    <r>
      <rPr>
        <sz val="11"/>
        <color rgb="FFFF0000"/>
        <rFont val="Calibri"/>
        <family val="2"/>
        <scheme val="minor"/>
      </rPr>
      <t xml:space="preserve">Draft LA suggests EN. </t>
    </r>
    <r>
      <rPr>
        <sz val="11"/>
        <rFont val="Calibri"/>
        <family val="2"/>
        <scheme val="minor"/>
      </rPr>
      <t>Popdecline may exceed 30%; was split from a taxon already listed as VU; may also be eligible under Br B</t>
    </r>
  </si>
  <si>
    <t>Popdecline approaching 30%; other evidence of ongoing decline; probably eligible under Cr B</t>
  </si>
  <si>
    <r>
      <rPr>
        <sz val="11"/>
        <color rgb="FFFF0000"/>
        <rFont val="Calibri"/>
        <family val="2"/>
        <scheme val="minor"/>
      </rPr>
      <t>Draft LA recommends retaining as EN.</t>
    </r>
    <r>
      <rPr>
        <sz val="11"/>
        <rFont val="Calibri"/>
        <family val="2"/>
        <scheme val="minor"/>
      </rPr>
      <t xml:space="preserve"> Population decline unlikely to exceed 50%</t>
    </r>
  </si>
  <si>
    <r>
      <rPr>
        <sz val="11"/>
        <color rgb="FFFF0000"/>
        <rFont val="Calibri"/>
        <family val="2"/>
        <scheme val="minor"/>
      </rPr>
      <t>Draft LA recommends listing as VU.</t>
    </r>
    <r>
      <rPr>
        <sz val="11"/>
        <rFont val="Calibri"/>
        <family val="2"/>
        <scheme val="minor"/>
      </rPr>
      <t xml:space="preserve"> Population decline unlikely to exceed 50%</t>
    </r>
  </si>
  <si>
    <r>
      <rPr>
        <sz val="11"/>
        <color rgb="FFFF0000"/>
        <rFont val="Calibri"/>
        <family val="2"/>
        <scheme val="minor"/>
      </rPr>
      <t>Draft LA recommends listing as EN.</t>
    </r>
    <r>
      <rPr>
        <sz val="11"/>
        <rFont val="Calibri"/>
        <family val="2"/>
        <scheme val="minor"/>
      </rPr>
      <t xml:space="preserve"> Popdecline may exceed 30% and recovery not predicted; IUCN lists it as EN</t>
    </r>
  </si>
  <si>
    <t>Popdecline may exceed 30%, restricted Geog distribution, and recovery predicted to be poor; IUCN lists it as EN</t>
  </si>
  <si>
    <r>
      <rPr>
        <sz val="11"/>
        <color rgb="FFFF0000"/>
        <rFont val="Calibri"/>
        <family val="2"/>
        <scheme val="minor"/>
      </rPr>
      <t xml:space="preserve">Draft LA recommends listing as EN. </t>
    </r>
    <r>
      <rPr>
        <sz val="11"/>
        <rFont val="Calibri"/>
        <family val="2"/>
        <scheme val="minor"/>
      </rPr>
      <t>Popdecline may exceed 30% and recovery not predicted; IUCN lists it as EN</t>
    </r>
  </si>
  <si>
    <t>Popdecline may exceed 30% and predicted to recover poorly; IUCN lists it as EN</t>
  </si>
  <si>
    <t>Popdecline may exceed 30% and predicted to recover poorly; IUCN lists as DD; Gillespie lists as NT</t>
  </si>
  <si>
    <t>Yes, but listed as EN Feb 21</t>
  </si>
  <si>
    <r>
      <rPr>
        <sz val="11"/>
        <color rgb="FFFF0000"/>
        <rFont val="Calibri"/>
        <family val="2"/>
        <scheme val="minor"/>
      </rPr>
      <t>LISTED AS EN Feb 21.</t>
    </r>
    <r>
      <rPr>
        <sz val="11"/>
        <rFont val="Calibri"/>
        <family val="2"/>
        <scheme val="minor"/>
      </rPr>
      <t xml:space="preserve"> Fire overlap low; but Gillespie et al recommend EN</t>
    </r>
  </si>
  <si>
    <t>Fire overlap (especially with severe fire) modest, so unlikley to qualify under CR A. Not range-restricted so ineligible under Cr B</t>
  </si>
  <si>
    <t>Fire overlap &lt;30%, even though IUCN list as NT on basis of Cr A, pop decline unlikely to exceed threshold for Vulnerbale</t>
  </si>
  <si>
    <t>Fire overlap &lt;30% but IUCN list as EN on basis of Cr B, Gillespie as NT</t>
  </si>
  <si>
    <t>Fire overlap &lt;&lt;30%, already listed as VU under Cr A;  unlikely to be eligible for uplisting under Cr A</t>
  </si>
  <si>
    <t>Fire overlap &lt;&lt;30%, already listed as VU under Cr B;  unlikely to be eligible for uplisting under Cr B or Cr A</t>
  </si>
  <si>
    <t>Fire overlap &lt;&lt;30% and unlikely to cause change in conservation status, even under Criterion B as any decline wont be continuing</t>
  </si>
  <si>
    <t>Fire overlap (especially with severe fire) modest, unlikely to cause population decline sufficient to qualify under Cr A</t>
  </si>
  <si>
    <t>unknown</t>
  </si>
  <si>
    <t>1000-10000</t>
  </si>
  <si>
    <t>&lt;10,000</t>
  </si>
  <si>
    <t>&lt;2500</t>
  </si>
  <si>
    <t>&lt;10000</t>
  </si>
  <si>
    <t>Pop decline at one year approaches 30%, but predicted to recover by 10 years</t>
  </si>
  <si>
    <t>Retain as EN: fire impacts unlikley to be enough to cause uplisting against Cr A, B or C</t>
  </si>
  <si>
    <t>Pop decline at 1 year approaches 30%, and predicted recovery is slow</t>
  </si>
  <si>
    <t>Pop decline at one year approaches 30%, but predicted recovery is reasonable</t>
  </si>
  <si>
    <t>Retain as EN: lower bound ofo population decline exceeds 30% but not 50% so not eligible under Criterion A; AoO unlikley to be sufficiently reduced to meet threshold for listing as CR</t>
  </si>
  <si>
    <r>
      <rPr>
        <sz val="11"/>
        <color theme="1"/>
        <rFont val="Calibri"/>
        <family val="2"/>
        <scheme val="minor"/>
      </rPr>
      <t>20</t>
    </r>
    <r>
      <rPr>
        <sz val="11"/>
        <color rgb="FFFF0000"/>
        <rFont val="Calibri"/>
        <family val="2"/>
        <scheme val="minor"/>
      </rPr>
      <t xml:space="preserve"> [20]</t>
    </r>
  </si>
  <si>
    <r>
      <rPr>
        <sz val="11"/>
        <color theme="1"/>
        <rFont val="Calibri"/>
        <family val="2"/>
        <scheme val="minor"/>
      </rPr>
      <t>148</t>
    </r>
    <r>
      <rPr>
        <sz val="11"/>
        <color rgb="FFFF0000"/>
        <rFont val="Calibri"/>
        <family val="2"/>
        <scheme val="minor"/>
      </rPr>
      <t xml:space="preserve"> [7]</t>
    </r>
  </si>
  <si>
    <r>
      <rPr>
        <sz val="11"/>
        <color theme="1"/>
        <rFont val="Calibri"/>
        <family val="2"/>
        <scheme val="minor"/>
      </rPr>
      <t>2600</t>
    </r>
    <r>
      <rPr>
        <sz val="11"/>
        <color rgb="FFFF0000"/>
        <rFont val="Calibri"/>
        <family val="2"/>
        <scheme val="minor"/>
      </rPr>
      <t xml:space="preserve"> [2500]</t>
    </r>
  </si>
  <si>
    <t>Population decline not predicted to apporach or exceed 30%, no evidence of marked pre-fire population decline</t>
  </si>
  <si>
    <r>
      <rPr>
        <sz val="11"/>
        <color theme="1"/>
        <rFont val="Calibri"/>
        <family val="2"/>
        <scheme val="minor"/>
      </rPr>
      <t>&lt;2500</t>
    </r>
    <r>
      <rPr>
        <sz val="11"/>
        <color rgb="FFFF0000"/>
        <rFont val="Calibri"/>
        <family val="2"/>
        <scheme val="minor"/>
      </rPr>
      <t xml:space="preserve"> [2000]</t>
    </r>
  </si>
  <si>
    <r>
      <rPr>
        <sz val="11"/>
        <color theme="1"/>
        <rFont val="Calibri"/>
        <family val="2"/>
        <scheme val="minor"/>
      </rPr>
      <t>&lt; 2500</t>
    </r>
    <r>
      <rPr>
        <sz val="11"/>
        <color rgb="FFFF0000"/>
        <rFont val="Calibri"/>
        <family val="2"/>
        <scheme val="minor"/>
      </rPr>
      <t xml:space="preserve"> [8000]</t>
    </r>
  </si>
  <si>
    <t>Pre fire was being considered for downlisting to VU; Post-fire - retain as EN: Population decline predicted to approach 30% but not exceed it, Population size very likely to be reduced enough the meet CR</t>
  </si>
  <si>
    <r>
      <rPr>
        <sz val="11"/>
        <color theme="1"/>
        <rFont val="Calibri"/>
        <family val="2"/>
        <scheme val="minor"/>
      </rPr>
      <t>444</t>
    </r>
    <r>
      <rPr>
        <sz val="11"/>
        <color rgb="FFFF0000"/>
        <rFont val="Calibri"/>
        <family val="2"/>
        <scheme val="minor"/>
      </rPr>
      <t xml:space="preserve"> [444]</t>
    </r>
  </si>
  <si>
    <t>Predicted population decline approaches 50% so may be eligible against Criterion A; evidence of marked pop decline before the fire; may also be eligible against Criterion B</t>
  </si>
  <si>
    <t>Predicted population decline approaches 30% but does not exceed it; pre-fire, listed as NT by IUCN and MAP</t>
  </si>
  <si>
    <t>Predicted population decline at one year &lt;20%; but listed as NT by IUCN/MAP and there is new independent evidence of decline</t>
  </si>
  <si>
    <t>Predicted population decline approaches 30% but does not exceed it; predicted recovery seems slow</t>
  </si>
  <si>
    <t>&gt;100,000</t>
  </si>
  <si>
    <t>&gt;30,000</t>
  </si>
  <si>
    <t>Fire impacts modest, but predicted to decline markedly ver 3 generations; partly because of vulnerability to climate change</t>
  </si>
  <si>
    <t>Predicted population decline approaches 50%;  evidence of marked and ongoing population decline before the fires</t>
  </si>
  <si>
    <t>Predicted population decline approaches 30%; listed as NT by IUCN/MAP pre-fire</t>
  </si>
  <si>
    <t>Predicted population decline at one year &lt;20% and recovery seems reasonable</t>
  </si>
  <si>
    <t>Retain as VU: Predicted population decline approaches 30% but not 50%, so unliley to be uplisted in Criterion A, and wont qualify under Criterion B nor C</t>
  </si>
  <si>
    <t>Predicted population decline only approaches 30%</t>
  </si>
  <si>
    <t>Predicted population decline approaches 30%;  evidence of marked pop decline before the fires, and predicted to fare poorly with changing climate</t>
  </si>
  <si>
    <r>
      <t xml:space="preserve">EN </t>
    </r>
    <r>
      <rPr>
        <sz val="11"/>
        <color rgb="FFFF0000"/>
        <rFont val="Calibri"/>
        <family val="2"/>
        <scheme val="minor"/>
      </rPr>
      <t>[VU]</t>
    </r>
  </si>
  <si>
    <t>Long-nosed Potoroo (mainland)</t>
  </si>
  <si>
    <t>Predicted population decline approaches 30% and recovery is poor</t>
  </si>
  <si>
    <t>Predicted population decline approaches 50% and recovery is poor</t>
  </si>
  <si>
    <r>
      <rPr>
        <sz val="11"/>
        <color theme="1"/>
        <rFont val="Calibri"/>
        <family val="2"/>
        <scheme val="minor"/>
      </rPr>
      <t>264</t>
    </r>
    <r>
      <rPr>
        <sz val="11"/>
        <color rgb="FFFF0000"/>
        <rFont val="Calibri"/>
        <family val="2"/>
        <scheme val="minor"/>
      </rPr>
      <t xml:space="preserve"> [144]</t>
    </r>
  </si>
  <si>
    <t>Retain as EN: Predicted population decline approaches 30% but not 50%</t>
  </si>
  <si>
    <t>Predicted population declone approaches 50% and recovery poor; evidence of marked pop decline before the fire</t>
  </si>
  <si>
    <t>Retain as EN: Predicted population decline approaches 50% but not 80%; Distribution and population size unlikley to be reduced enough to meet CR</t>
  </si>
  <si>
    <t>Retain as VU: predicted population decline approaches 30% but not 50%, so unliley to be uplisted in Criterion A, and wont qualify under Criterion B nor C</t>
  </si>
  <si>
    <t>Predicted population decline approaches 30% at one year without exceeding it, but recovery seems reasonable</t>
  </si>
  <si>
    <t>Predicted population decline only about 10%</t>
  </si>
  <si>
    <t>Predicted population decline approaches 80%, and fire overlap very high; AoO probably not reduced enough to meet CR, given evidence form recent surveys</t>
  </si>
  <si>
    <t>Predicted population decline approaches 30% but not 50% and recovers well; no evidence of marked pre-fire pop decline</t>
  </si>
  <si>
    <t>250 (significant underestimate)</t>
  </si>
  <si>
    <t>Retain as EN: Predicted population decline about 30%, and AoO unlikley to be reduced enough to meet thresholds for CR</t>
  </si>
  <si>
    <t>Predicted population decline less than 20%</t>
  </si>
  <si>
    <t>Overall fire overlap Is over 25% and severe fire overlap is 10%; listed under Criterion B and unlikely to meet thresholds for uplisting</t>
  </si>
  <si>
    <t>Overall fire overlap exceeds 40% and severe fire overlap exceeds 20%; unlikley to be enough to shift taxon into CR, bt consider other evidence</t>
  </si>
  <si>
    <t>Overall fire overlap is lower than 35% and severe fire overlap is lower than 15%; population decline unlikley to meet threshold for listing</t>
  </si>
  <si>
    <t>Std low</t>
  </si>
  <si>
    <t>Std high</t>
  </si>
  <si>
    <t>LOWER</t>
  </si>
  <si>
    <t>High/very high</t>
  </si>
  <si>
    <t>0_Immediately</t>
  </si>
  <si>
    <t>1 year</t>
  </si>
  <si>
    <t>10 years or 3 gens</t>
  </si>
  <si>
    <t>Low/moderate</t>
  </si>
  <si>
    <t>Unburnt</t>
  </si>
  <si>
    <t>Pseudophyrne dendyi*</t>
  </si>
  <si>
    <t>Bell's Turtle</t>
  </si>
  <si>
    <t>Cunningham's skink</t>
  </si>
  <si>
    <t>Cunningham's skink (Clade A)</t>
  </si>
  <si>
    <t>Cunningham's skink (Clade B)</t>
  </si>
  <si>
    <t>Cunningham's skink (Clade C)</t>
  </si>
  <si>
    <t>George's Snapping Turtle</t>
  </si>
  <si>
    <t>Granite Leaf-tailed Gecko</t>
  </si>
  <si>
    <t>Kate's Leaftail Gecko</t>
  </si>
  <si>
    <t>Manning River Helmeted Turtle</t>
  </si>
  <si>
    <t>Oakview Leaf-tailed Gecko</t>
  </si>
  <si>
    <t>Rainforest Cool Skink</t>
  </si>
  <si>
    <t>Ringed Thin-tailed Gecko</t>
  </si>
  <si>
    <t>Southern Water Skink</t>
  </si>
  <si>
    <t>Swamp skink</t>
  </si>
  <si>
    <t>Antechinus mimetes (swainsonii)</t>
  </si>
  <si>
    <t>Antechinus stuartii (north)</t>
  </si>
  <si>
    <t>Antechinus stuartii (south)</t>
  </si>
  <si>
    <t>Dasyurus maculatus maculatus</t>
  </si>
  <si>
    <t>Potorous tridactylus</t>
  </si>
  <si>
    <t>Sminthopsis griseoventer aitkeni</t>
  </si>
  <si>
    <t>Tachyglossus aculeatus multiacus</t>
  </si>
  <si>
    <t>Spiny crayfish</t>
  </si>
  <si>
    <t>Most plausible pop decline</t>
  </si>
  <si>
    <t>Site-level population decline exposed to fires of varying severity, and assuming current management</t>
  </si>
  <si>
    <t>Group</t>
  </si>
  <si>
    <t>Scientific name</t>
  </si>
  <si>
    <t>Fire severity</t>
  </si>
  <si>
    <t>Time period</t>
  </si>
  <si>
    <r>
      <rPr>
        <b/>
        <sz val="11"/>
        <color theme="1"/>
        <rFont val="Calibri"/>
        <family val="2"/>
        <scheme val="minor"/>
      </rPr>
      <t xml:space="preserve">PRE-FIRE </t>
    </r>
    <r>
      <rPr>
        <sz val="11"/>
        <color theme="1"/>
        <rFont val="Calibri"/>
        <family val="2"/>
        <scheme val="minor"/>
      </rPr>
      <t>ELIGIBILITY AGAINST LISTING CRITERIA (from EPBCA, or</t>
    </r>
    <r>
      <rPr>
        <sz val="11"/>
        <color rgb="FFFF0000"/>
        <rFont val="Calibri"/>
        <family val="2"/>
        <scheme val="minor"/>
      </rPr>
      <t xml:space="preserve"> BAP/IUCN</t>
    </r>
    <r>
      <rPr>
        <sz val="11"/>
        <color theme="1"/>
        <rFont val="Calibri"/>
        <family val="2"/>
        <scheme val="minor"/>
      </rPr>
      <t>)</t>
    </r>
  </si>
  <si>
    <t>BAP 2011
Garnett, S., Szabo, J., and Dutson, G. (2010). 'The Action Plan for Australian Birds.' (CSIRO: Collingwood, Victoria.)</t>
  </si>
  <si>
    <t>BAP 2020
Garnett, S.T., Baker, B. (2021) The Action Plan for Australian Birds. CSIRO Publishing, Melbourne.</t>
  </si>
  <si>
    <t>Probably retain as EN, yet fire overlap so high, re-assessment may be warranted: Predicted population decline approaches 50%, but not 80%; AoO and population size unlikley to be reduced sufficiently to meet threshold for CR.</t>
  </si>
  <si>
    <r>
      <rPr>
        <b/>
        <sz val="11"/>
        <color theme="1"/>
        <rFont val="Calibri"/>
        <family val="2"/>
        <scheme val="minor"/>
      </rPr>
      <t>PRE-FIRE</t>
    </r>
    <r>
      <rPr>
        <sz val="11"/>
        <color theme="1"/>
        <rFont val="Calibri"/>
        <family val="2"/>
        <scheme val="minor"/>
      </rPr>
      <t xml:space="preserve"> ELIGIBILITY AGAINST LISTING CRITERIA (from EPBCA, or</t>
    </r>
    <r>
      <rPr>
        <sz val="11"/>
        <color rgb="FFFF0000"/>
        <rFont val="Calibri"/>
        <family val="2"/>
        <scheme val="minor"/>
      </rPr>
      <t xml:space="preserve"> MAP/IUCN (red font)</t>
    </r>
    <r>
      <rPr>
        <sz val="11"/>
        <color theme="1"/>
        <rFont val="Calibri"/>
        <family val="2"/>
        <scheme val="minor"/>
      </rPr>
      <t>)</t>
    </r>
  </si>
  <si>
    <t>Litoria littlejohni [EXCLUDED TAXON, SUPERCEDED BY TAXONOMIC REVIEW]</t>
  </si>
  <si>
    <r>
      <t xml:space="preserve">PRE-FIRE ELIGIBILITY AGAINST LISTING CRITERIA (from Gillespie 2020, </t>
    </r>
    <r>
      <rPr>
        <sz val="11"/>
        <color rgb="FF0070C0"/>
        <rFont val="Calibri"/>
        <family val="2"/>
        <scheme val="minor"/>
      </rPr>
      <t>EPBCA</t>
    </r>
    <r>
      <rPr>
        <sz val="11"/>
        <color theme="1"/>
        <rFont val="Calibri"/>
        <family val="2"/>
        <scheme val="minor"/>
      </rPr>
      <t>, or</t>
    </r>
    <r>
      <rPr>
        <sz val="11"/>
        <color rgb="FFFF0000"/>
        <rFont val="Calibri"/>
        <family val="2"/>
        <scheme val="minor"/>
      </rPr>
      <t xml:space="preserve"> IUCN)
</t>
    </r>
    <r>
      <rPr>
        <sz val="11"/>
        <rFont val="Calibri"/>
        <family val="2"/>
        <scheme val="minor"/>
      </rPr>
      <t>Gillespie, G. R., Roberts, J. D., Hunter, D., Hoskin, C. J., Alford, R. A., Heard, G. W., Hines, H., Lemckert, F., Newell, D., and Scheele, B. C. (2020). Status and priority conservation actions for Australian frog species. Biological Conservation 247, 108543.</t>
    </r>
  </si>
  <si>
    <t>Limnodynastes dumerilii</t>
  </si>
  <si>
    <t>Limnodynastes dumerilii grayii</t>
  </si>
  <si>
    <t>Limnodynastes dumerilii inularis</t>
  </si>
  <si>
    <t>SDM clipped to range</t>
  </si>
  <si>
    <t>FireClass1 (no data)</t>
  </si>
  <si>
    <t>FireClass2 (no change)</t>
  </si>
  <si>
    <t>FireClass3 (Low-Moderate)</t>
  </si>
  <si>
    <t>FireClass4 (High)</t>
  </si>
  <si>
    <t>FireClass5 (Very High)</t>
  </si>
  <si>
    <r>
      <t xml:space="preserve">reason
</t>
    </r>
    <r>
      <rPr>
        <sz val="11"/>
        <color rgb="FFFF0000"/>
        <rFont val="Calibri"/>
        <family val="2"/>
        <scheme val="minor"/>
      </rPr>
      <t>Red font shows information about listing assessments that are already initiated</t>
    </r>
  </si>
  <si>
    <r>
      <rPr>
        <b/>
        <sz val="11"/>
        <color theme="1"/>
        <rFont val="Calibri"/>
        <family val="2"/>
        <scheme val="minor"/>
      </rPr>
      <t xml:space="preserve">PRE-FIRE </t>
    </r>
    <r>
      <rPr>
        <sz val="11"/>
        <color theme="1"/>
        <rFont val="Calibri"/>
        <family val="2"/>
        <scheme val="minor"/>
      </rPr>
      <t>ELIGIBILITY AGAINST LISTING CRITERIA (from EPBCA, or</t>
    </r>
    <r>
      <rPr>
        <sz val="11"/>
        <color rgb="FFFF0000"/>
        <rFont val="Calibri"/>
        <family val="2"/>
        <scheme val="minor"/>
      </rPr>
      <t xml:space="preserve"> IUCN[red font]</t>
    </r>
    <r>
      <rPr>
        <sz val="11"/>
        <color theme="1"/>
        <rFont val="Calibri"/>
        <family val="2"/>
        <scheme val="minor"/>
      </rPr>
      <t>)</t>
    </r>
  </si>
  <si>
    <t>blue font = Chapple et al 2019
Red font = IUCN
Chapple, D., Tingley, R., Mitchell, N., Macdonald, S., Keogh, J. S., Shea, G., Bowles, P., Cox, N., and Woinarski, J. C. Z. (2019). 'The Action Plan for Australian Lizards and Snakes 2017.' (CSIRO PUBLISHING: Melbourne, Australia.)</t>
  </si>
  <si>
    <t>EPBC listing (Jan 2021)</t>
  </si>
  <si>
    <t>comments arising from genetic assessment; Catullo, R. and Moritz, C. (2020). Genetic assessment of bushfire-impacted vertebrate species; interim report October 2020. (The Australian National University; NESP TSR Hub: Canberra, Australia.)</t>
  </si>
  <si>
    <r>
      <t xml:space="preserve">EPBC listing </t>
    </r>
    <r>
      <rPr>
        <sz val="11"/>
        <color theme="1"/>
        <rFont val="Calibri"/>
        <family val="2"/>
        <scheme val="minor"/>
      </rPr>
      <t>(Jan 2021)</t>
    </r>
  </si>
  <si>
    <r>
      <t xml:space="preserve">Mammal Action Plan
</t>
    </r>
    <r>
      <rPr>
        <sz val="11"/>
        <color theme="1"/>
        <rFont val="Calibri"/>
        <family val="2"/>
        <scheme val="minor"/>
      </rPr>
      <t>Woinarski, J. C. Z., Burbidge, A. A., and Harrison, P. L. (2014). 'The Action Plan for Australian Mammals 2012.' (CSIRO Publishing: Melbourne.)</t>
    </r>
  </si>
  <si>
    <t>COMPOSITE
Use UoM SDM clipped to IUCN range maps if available; then use range maps</t>
  </si>
  <si>
    <t>COMPOSITE
Use UoM SDM clipped to IUCN range maps if available; then use range maps; for turtles use aquatic impacts map</t>
  </si>
  <si>
    <t>Lintermans 2019
Lintermans, M. (2019). Conservation status of Australian fishes. Lateral Lines - Australian Society for Fish Biology Newsletter Dec 2019, 172-174.</t>
  </si>
  <si>
    <r>
      <rPr>
        <b/>
        <sz val="11"/>
        <color theme="1"/>
        <rFont val="Calibri"/>
        <family val="2"/>
        <scheme val="minor"/>
      </rPr>
      <t>PRE-FIRE</t>
    </r>
    <r>
      <rPr>
        <sz val="11"/>
        <color theme="1"/>
        <rFont val="Calibri"/>
        <family val="2"/>
        <scheme val="minor"/>
      </rPr>
      <t xml:space="preserve"> ELIGIBILITY AGAINST LISTING CRITERIA (from EPBCA, or</t>
    </r>
    <r>
      <rPr>
        <sz val="11"/>
        <color rgb="FFFF0000"/>
        <rFont val="Calibri"/>
        <family val="2"/>
        <scheme val="minor"/>
      </rPr>
      <t xml:space="preserve"> IUCN[red font]</t>
    </r>
    <r>
      <rPr>
        <sz val="11"/>
        <color theme="1"/>
        <rFont val="Calibri"/>
        <family val="2"/>
        <scheme val="minor"/>
      </rPr>
      <t>)</t>
    </r>
  </si>
  <si>
    <t>Range map (using McCormack)
McCormack, R. B. (2012). 'A guide to Australia's spiny freshwater crayfish.' (CSIRO PUBLISHING.)</t>
  </si>
  <si>
    <t>1 week range</t>
  </si>
  <si>
    <t>1year range</t>
  </si>
  <si>
    <t>10 years range</t>
  </si>
  <si>
    <t>This project aimed to carry out an assessment of fire impacts on vertebrates and spiny crayfish and their management needs.
 More information at: https://www.nespthreatenedspecies.edu.au/projects/population-responses-to-fires-of-varying-severity-for-priority-vertebrate-and-spiny-crayfish-species-and-the-extent-to-which-management-actions-support-recovery</t>
  </si>
  <si>
    <t>Name</t>
  </si>
  <si>
    <t>Email</t>
  </si>
  <si>
    <t>Gov</t>
  </si>
  <si>
    <t>Uni</t>
  </si>
  <si>
    <t>NGO/independent</t>
  </si>
  <si>
    <t>Affiliation and address</t>
  </si>
  <si>
    <t>Shane.Ahyong@austmus.gov.au</t>
  </si>
  <si>
    <t>Caroline.Blackmore@environment.nsw.gov.au</t>
  </si>
  <si>
    <t>NSW National Parks and Wildlife Service, 24 Moonee Street, Coffs harbour, NSW 2450</t>
  </si>
  <si>
    <t>School of Environmental and Rural Science, University of New England, Elm Avenue, Armidale NSW 2351</t>
  </si>
  <si>
    <t>diego.brizuela.t@gmail.com</t>
  </si>
  <si>
    <t>allan.burbidge@dbca.wa.gov.au</t>
  </si>
  <si>
    <t>Department of Biodiversity, Conservation and Attractions, Bentley, WA 6983</t>
  </si>
  <si>
    <t>Wildlife Conservation &amp; Science, Zoos Victoria, Elliott Ave, Parkville VIC 3052 </t>
  </si>
  <si>
    <t>gavin.butler@dpi.nsw.gov.au</t>
  </si>
  <si>
    <t>Grafton Fisheries Centre PMB 2 Grafton NSW 2460</t>
  </si>
  <si>
    <t>renee.catullo@uwa.edu.au</t>
  </si>
  <si>
    <t>chris.dickman@sydney.edu.au</t>
  </si>
  <si>
    <t>School of Life and Environmental Sciences, A08, University of Sydney, NSW 2006</t>
  </si>
  <si>
    <t>kadoyle@csu.edu.au</t>
  </si>
  <si>
    <t>glennehmke76@gmail.com</t>
  </si>
  <si>
    <t>Birdlife Australia, 60 Leicester Street, Carlton, Victoria 3053</t>
  </si>
  <si>
    <t>d.fisher@uq.edu.au</t>
  </si>
  <si>
    <t xml:space="preserve">School of Biological Sciences, University of Queensland St Lucia 4072 </t>
  </si>
  <si>
    <t>rachael.gallagher@mq.edu.au</t>
  </si>
  <si>
    <t>Department of Biological Sciences, Macquarie University, North Ryde, NSW 2019</t>
  </si>
  <si>
    <t>stephen.garnett@cdu.edu.au</t>
  </si>
  <si>
    <t>Research Institute of the Environment and Livelihoods, Charles Darwin University, Casuarina, NT 0800</t>
  </si>
  <si>
    <t>hayley.geyle@cdu.edu.au</t>
  </si>
  <si>
    <t>Graeme.Gillespie@nt.gov.au</t>
  </si>
  <si>
    <t>Department of Environment, Parks and Water Security, NT Government, PO Box 496, Palmerston, 564 Vanderlin Drive, Berrimah, NT 0831</t>
  </si>
  <si>
    <t>matthew.greenlees@mq.edu.au</t>
  </si>
  <si>
    <t>Department of Biological Sciences, Macquarie University, Sydney NSW 2109; AND
Australian Museum Research institute, The Australian Museum, 1 William Street, Sydney, NSW 2010</t>
  </si>
  <si>
    <t>brittany.hayward-brown@cdu.edu.au</t>
  </si>
  <si>
    <t>rosemary.hohnen@cdu.edu.au</t>
  </si>
  <si>
    <t>conrad.hoskin@jcu.edu.au</t>
  </si>
  <si>
    <t>College of Science &amp; Engineering, James Cook University, Townsville, Qld 4811</t>
  </si>
  <si>
    <t>david.hunter@environment.nsw.gov.au</t>
  </si>
  <si>
    <t>New South Wales Department of Planning, Industry and Environment, 512 Dean Street, Albury, NSW, 2640</t>
  </si>
  <si>
    <t>Institute for Land, Water and Society, Charles Sturt University, Albury, New South Wales, Australia</t>
  </si>
  <si>
    <t>m.kennard@griffith.edu.au</t>
  </si>
  <si>
    <t>Australian Rivers Institute, Griffith University, Nathan, Qld, 4111</t>
  </si>
  <si>
    <t>Alison.King@latrobe.edu.au</t>
  </si>
  <si>
    <t>Centre for Freshwater Ecosystems, La Trobe University, 133 McKoy St., Wodonga, VIC 3690</t>
  </si>
  <si>
    <t>d.kuchinke@federation.edu.au</t>
  </si>
  <si>
    <t>School of Science, Psychology and Sport, Federation University, Mt Helen, Victoria 3350</t>
  </si>
  <si>
    <t>brad.law@dpi.nsw.gov.au</t>
  </si>
  <si>
    <t>Forest Science Unit, NSW Primary Industries,  4PSQ  Locked Bag 5022, Parramatta NSW 2124</t>
  </si>
  <si>
    <t>SarahMariaLegge@gmail.com</t>
  </si>
  <si>
    <t>Mark.Lintermans@canberra.edu.au</t>
  </si>
  <si>
    <t>Centre for Applied Water Science, University of Canberra, Canberra, ACT 2601</t>
  </si>
  <si>
    <t>richard.loyn@bigpond.com</t>
  </si>
  <si>
    <t>Department of Ecology, Environment &amp; Evolution, La Trobe University, Bundoora, VIC 3086</t>
  </si>
  <si>
    <t>dan.lunney@environment.nsw.gov.au</t>
  </si>
  <si>
    <t>jarod.lyon@delwp.vic.gov.au</t>
  </si>
  <si>
    <t>Arthur Rylah Institute for Environmental Research, Department of Environment, Land, Water and Planning, 123 Brown Street (PO Box 137), Heidelberg, Victoria 3084</t>
  </si>
  <si>
    <t>josephine.machunter@delwp.vic.gov.au</t>
  </si>
  <si>
    <t>michael.mahony@newcastle.edu.au</t>
  </si>
  <si>
    <t>School of Environment and Life Sciences, The University of Newcastle, Callaghan NSW 2308.</t>
  </si>
  <si>
    <t>stephen.mahony93@gmail.com</t>
  </si>
  <si>
    <t xml:space="preserve">rob@aabio.com.au  </t>
  </si>
  <si>
    <t>Australian Crayfish Project, c/- Australian Aquatic Biological Pty Ltd, Swan Bay, NSW, 2324; AND 
Carnegie Museum of Natural History, Section of Invertebrate Zoology, Pittsburgh, PA 15213-4080 USA</t>
  </si>
  <si>
    <t>jmelv@museum.vic.gov.au</t>
  </si>
  <si>
    <t>Museum Victoria, GPO Box 666, Melbourne, VIC 3001</t>
  </si>
  <si>
    <t>peter.menkhorst@delwp.vic.gov.au</t>
  </si>
  <si>
    <t>DMichael@csu.edu.au</t>
  </si>
  <si>
    <t>Institute for Land, Water and Society, School of Agriculture, Environment and Veterinary Science, Charles Sturt University, Elizabeth Mitchell Drive, PO Box 789, Albury, NSW 2640</t>
  </si>
  <si>
    <t>nicola.mitchell@uwa.edu.au</t>
  </si>
  <si>
    <t>School of Biological Sciences, The University of Western Australia, 35 Stirling Highway, Crawley WA 6009</t>
  </si>
  <si>
    <t>Eridani.Mulder@australianwildlife.org</t>
  </si>
  <si>
    <t>David.Newell@scu.edu.au</t>
  </si>
  <si>
    <t>Southern Cross University, Faculty of Science and Engineering, PO Box 157 Lismore NSW 2480</t>
  </si>
  <si>
    <t>dnimmo@csu.edu.au</t>
  </si>
  <si>
    <t>Institute for Land, Water and Society, School of Environmental Science, Charles Sturt University, Albury, New South Wales 2640</t>
  </si>
  <si>
    <t>luke.pearce@dpi.nsw.gov.au</t>
  </si>
  <si>
    <t xml:space="preserve">NSW Department of Primary Industries, Unit 5/620 Macauley Street, Albury, NSW 2640 </t>
  </si>
  <si>
    <t>Tarmo.Raadik@delwp.vic.gov.au</t>
  </si>
  <si>
    <t>Jodi.Rowley@austmus.gov.au</t>
  </si>
  <si>
    <t>lrumpff@unimelb.edu.au</t>
  </si>
  <si>
    <t>Quantitative and Applied Ecology Group, School of Ecosystem and Forest Sciences, University of Melbourne, Parkville, Vic 3010</t>
  </si>
  <si>
    <t>ben.scheele@anu.edu.au</t>
  </si>
  <si>
    <t>Fenner School of Environment &amp; Society, The Australian National University, Canberra, ACT, 2601</t>
  </si>
  <si>
    <t>holly.sitters@unimelb.edu.au</t>
  </si>
  <si>
    <t>School of Ecosystem and Forest Sciences, The University of Melbourne, 4 Water Street, Creswick, Vic 3363</t>
  </si>
  <si>
    <t>darren.southwell@unimelb.edu.au</t>
  </si>
  <si>
    <t>R.Spencer@westernsydney.edu.au</t>
  </si>
  <si>
    <t xml:space="preserve">School of Science, Hawkesbury Institute for the Environment, Western Sydney University, Hawkesbury Campus, Locked Bag 1797, Penrith, NSW 2751 </t>
  </si>
  <si>
    <t>S.Lawler@latrobe.edu.au</t>
  </si>
  <si>
    <t>valavi.r@gmail.com</t>
  </si>
  <si>
    <t>matthew.west@unimelb.edu.au</t>
  </si>
  <si>
    <t>School of BioSciences, University of Melbourne, Parkville, Vic 3010</t>
  </si>
  <si>
    <t>nick.whiterod@aquasave.com.au&gt;</t>
  </si>
  <si>
    <t>Aquasave−Nature Glenelg Trust, PO Box 796, Victor Harbor, SA, 5211,</t>
  </si>
  <si>
    <t>david.wilkinson.research@gmail.com</t>
  </si>
  <si>
    <t>John. Woinarski@cdu.edu.au</t>
  </si>
  <si>
    <t xml:space="preserve">sylvia.zukowski@aquasave.com.au </t>
  </si>
  <si>
    <t>Aquasave-NGT 16 Anglesea Rd, Hindmarsh Valley SA 5211</t>
  </si>
  <si>
    <t>m.ward@uq.edu.au</t>
  </si>
  <si>
    <t>Centre for Biodiversity Conservation Science, University of Queensland, St Lucia, Qld 4072</t>
  </si>
  <si>
    <t>mikijensbey@gmail.com</t>
  </si>
  <si>
    <t>Bower, D.S.</t>
  </si>
  <si>
    <t>Burbidge, A.H.</t>
  </si>
  <si>
    <t>Butler , G.</t>
  </si>
  <si>
    <t>Catullo , R.</t>
  </si>
  <si>
    <t>Dickman, C.R.</t>
  </si>
  <si>
    <t>Doyle, K.</t>
  </si>
  <si>
    <t>Ehmke, G.</t>
  </si>
  <si>
    <t>Fisher, D.</t>
  </si>
  <si>
    <t>Gallagher,R.</t>
  </si>
  <si>
    <t>Garnett, S.T.</t>
  </si>
  <si>
    <t>Geyle, H.</t>
  </si>
  <si>
    <t>Greenlees, M.J.</t>
  </si>
  <si>
    <t>Hayward-Brown, B.</t>
  </si>
  <si>
    <t>Hohnen, R.</t>
  </si>
  <si>
    <t>Hunter, D.</t>
  </si>
  <si>
    <t>Jolly, C.</t>
  </si>
  <si>
    <t>Kennard, M.</t>
  </si>
  <si>
    <t>King , A.</t>
  </si>
  <si>
    <t>Kuchinke , D.</t>
  </si>
  <si>
    <t>Law, B.</t>
  </si>
  <si>
    <t>Legge, S.</t>
  </si>
  <si>
    <t xml:space="preserve">Lintermans, M. </t>
  </si>
  <si>
    <t>Loyn, R.</t>
  </si>
  <si>
    <t>Lunney, D.</t>
  </si>
  <si>
    <t>Lyon, J.</t>
  </si>
  <si>
    <t>MacHunter, J.</t>
  </si>
  <si>
    <t>Mahony, M.</t>
  </si>
  <si>
    <t>Mahony, S.</t>
  </si>
  <si>
    <t>Melville, J.</t>
  </si>
  <si>
    <t>Menkhorst, P.</t>
  </si>
  <si>
    <t>Michael, D.</t>
  </si>
  <si>
    <t>Mitchell, N.</t>
  </si>
  <si>
    <t>Mulder, E.</t>
  </si>
  <si>
    <t>Newell, D.</t>
  </si>
  <si>
    <t>Nimmo, D.G.</t>
  </si>
  <si>
    <t>Pearce, L.</t>
  </si>
  <si>
    <t>Raadik, T.A.</t>
  </si>
  <si>
    <t>Rowley, J.</t>
  </si>
  <si>
    <t xml:space="preserve">Rumpff, L. </t>
  </si>
  <si>
    <t xml:space="preserve">Scheele, B.C. </t>
  </si>
  <si>
    <t>Sitters, H.</t>
  </si>
  <si>
    <t>Southwell, D.G</t>
  </si>
  <si>
    <t>Spencer, R.</t>
  </si>
  <si>
    <t>Valavi, R.</t>
  </si>
  <si>
    <t>West, M.</t>
  </si>
  <si>
    <t>Whiterod, N.S.</t>
  </si>
  <si>
    <t>Woinarski, J.C.Z.</t>
  </si>
  <si>
    <t>Zukowski, S.</t>
  </si>
  <si>
    <t>Ward, M.</t>
  </si>
  <si>
    <t>report citation:</t>
  </si>
  <si>
    <t>For for information, or access to underlaying data, contact Sarah Legge or Darren Southwell.</t>
  </si>
  <si>
    <t>Hoskin, C.J.</t>
  </si>
  <si>
    <t>Gillespie, G.R.</t>
  </si>
  <si>
    <t>Fish distributional overlaps with fire and sedimentation risk - based on Ward et al spatial model that predicts risk of instream sedimention events</t>
  </si>
  <si>
    <t>Composite fire overlap, categorising fire class 2 as burnt (using AUS GEEBAM fire severity mapping for crayfish species with burrows not connected to the stream; using Ward et al aquatic model for crayfish species with burrows connected to the stream)</t>
  </si>
  <si>
    <t>Composite fire overlap, categorisong fire class 2 as unburnt using AUS GEEBAM fire severity mapping for species with burrows not connected to the stream; Ward et al aquatic model for species with burrows connected to the stream)</t>
  </si>
  <si>
    <t>Composite fire overlap, categorising fire class 2 as burnt (using AUS GEEBAM fire severity mapping for terrestrial species and crayfish species with burrows not connected to the stream; using Ward et al aquatic model for fish, turtles, crayfish species with burrows connected to the stream)</t>
  </si>
  <si>
    <t>Composite fire overlap, categorising fire class 2 as mildly burnt using AUS GEEBAM fire severity mapping for terrestrial species; using Ward et al aquatic model for turtles</t>
  </si>
  <si>
    <t>Composite fire overlap, categorising fire class 2 as unburnt using AUS GEEBAM fire severity mapping for terrestrial species; using Ward et al aquatic model for turtles</t>
  </si>
  <si>
    <t>Composite fire overlap, using AUS GEEBAM fire severity mapping and categorising fire class 2 as unburnt</t>
  </si>
  <si>
    <t>Composite fire overlap, using AUS GEEBAM fire severity mapping and categorising fire class 2 as mildly burnt</t>
  </si>
  <si>
    <t>Composite fire overlap, using AUS GEEBAM fire severity mapping and categorising fire class 2 as mildly burnt; and using Ward et al aquatic model for platypus</t>
  </si>
  <si>
    <t>Composite fire overlap, using AUS GEEBAM fire severity mapping and categorising fire class 2 as unburnt; and using Ward et al aquatic model for platypus</t>
  </si>
  <si>
    <t>Population declines based on expert elicitation x spatial analyses (assuming current management, and assuming fire class 2 is mildly burnt)</t>
  </si>
  <si>
    <t>Pseudophryne dendyi (using EE from bibroni)</t>
  </si>
  <si>
    <t>range km2</t>
  </si>
  <si>
    <t>COMPOSITE
UoM SDM clipped to veg or range map clipped to veg</t>
  </si>
  <si>
    <t>Range size</t>
  </si>
  <si>
    <t>Most plausible population size</t>
  </si>
  <si>
    <t>most plausible population size</t>
  </si>
  <si>
    <t>CONFIDENCE (from analysis calssing fire class 2 as burnt)</t>
  </si>
  <si>
    <t>Legge, S., Woinarski, J. C. Z., Garnett, S. T., Geyle, H., Lintermans, M., Nimmo, D. G., Rumpff, L., Scheele, B. C., Southwell, D. G., Ward, M., Whiterod, N. S., Ahyong, S. T., Blackmore, C. J., Bower, D. S., Brizuela-Torres, D., Burbidge, A. H., Burns, P. A., Butler, G., Catullo, R., Dickman, C. R., Doyle, K., Ensbey, M., Ehmke, G., Ferris, J., Fisher, D., Gallagher, R., Gillespie, G. R., Greenlees, M. J., Hayward-Brown, B., Hohnen, R., Hoskin, C. J., Hunter, D., Jolly, C., Kennard, M., King, A., Kuchinke, D., Law, B., Lawler, I., Lawler, S., Loyn, R., Lunney, D., Lyon, J., MacHunter, J., Mahony, M., Mahony, S., McCormack, R. B., Melville, J., Menkhorst, P., Michael, D., Mitchell, N., Mulder, E., Newell, D., Pearce, L., Raadik, T. A., Rowley, J., Sitters, H., Spencer, R., Valavi, R., Ward, M., West, M., Wilkinson, D. P., and Zukowski, S. (2021). Estimates of the impacts of the 2019-2020 fires on populations of native animal species. NESP Threatened Species Recovery Hub project 8.3.2 report. (Brisbane, Australia.)</t>
  </si>
  <si>
    <t xml:space="preserve">This study was supported by the Australian Government’s National Environmental Science Program (Threatened Species Recovery Hub).
Thanks to DAWE staff for discussion and support, especially the team at the Protected Species and Communities Branch; Fiona Woods and team at Geospatial and Information Analytics Branch; Sally Box, Fiona Fraser and the BushFire Taskforce.
Unpublished mapping/observation data were provided by Reid Tingley (Monash), Stewart MacDonald (JCU), Stephane Batista and Andrew Baker (QUT), Justin Welbergen (UWS), Harry Moore (CSU), Tim Page (DAWE), Rosie Hohnen (CDU), Tarmo Raadik (ARI).
Expert elicitation led by Libby Rumpff, Hayley Geyle, Stephen Garnett, Brittany Hayward-Brown.
Taxon leads were Stephen Garnett (birds), Mark Lintermans (fish), Dale Nimmo (reptiles), Ben Scheele (frogs), Nick Whiterod (spiny crayfish), John Woinarski (mammals).
Spatial analysis led by Darren Southwell, Michelle Ward (aquatic), Glenn Ehmke (birds); with additional expertise from Rachael Gallagher (Maq), Diego Brizuela Torres (UoM), David Wilkinson (UoM), Roozbeh Valavi (UoM), Patrick Lane (UoM), Petter Nyman (Alluvium), Gary Sheridan (UoM), Tarmo Raadik (ARI).
Taxonomic review used to inform assessment led by Renee Catullo (UWA) and Craig Moritz (ANU).
</t>
  </si>
  <si>
    <t>Australian Museum, 1 William St., Sydney, NSW 2010, and 
School of Biological, Earth &amp; Environmental Sciences, University of New South Wales, Kensington, NSW 2052</t>
  </si>
  <si>
    <t xml:space="preserve">deborah.bower@une.edu.au
</t>
  </si>
  <si>
    <t>Quantitative and Applied Ecology Group, School of BioSciences, University of Melbourne, Parkville, Vic, 3010; and
Department for Conservation Ecology and Social-Ecological Systems, Helmholtz Centre for Environmental Research, Leipzig, Germany.</t>
  </si>
  <si>
    <t>pburns@zoo.org.au</t>
  </si>
  <si>
    <t>School of Biological Sciences, University of Western Australia, 35 Stirling Highway, Crawley, WA 6009</t>
  </si>
  <si>
    <t>Institute for Land Water and Society, Charles Sturt University, Elizabeth Mitchell Drive, Albury, NSW 2640</t>
  </si>
  <si>
    <t>Jason.Ferris@awe.gov.au</t>
  </si>
  <si>
    <t>Protected Species and Communities Branch, Department of Agriculture, Water and the Environment, John Gorton Building, King Edward Terrace, Parkes, ACT 2600</t>
  </si>
  <si>
    <t>cjolly@csu.edu.au</t>
  </si>
  <si>
    <t>Ivan.Lawler@awe.gov.au</t>
  </si>
  <si>
    <t>Centre for Biodiversity Conservation Science, University of Queensland, St Lucia, Qld 4072; and
Fenner School of Environment &amp; Society, The Australian National University, Canberra, ACT, 2601</t>
  </si>
  <si>
    <t>Department of Planning, Industry and Environment, 12 Darcy Street, Parramatta, NSW 2150; and 
School of Life and Environmental Sciences, University of Sydney, NSW 2006, and Australian Museum, 1 William St, Sydney, NSW 2010</t>
  </si>
  <si>
    <t xml:space="preserve">Australian Museum, 1 William St., Sydney, NSW 2010; and
School of Environment and Life Sciences, The University of Newcastle, Callaghan, NSW 2308
</t>
  </si>
  <si>
    <t>Australian Wildlife Conservancy, Wongalara Wildlife Sanctuary, PMB 162, Katherine, NT 0852</t>
  </si>
  <si>
    <t>Australian Museum Research Institute, Australian Museum, 1 William Street, Sydney, NSW
AND Centre for Ecosystem Science, School of Biological, Earth and Environmental Sciences, UNSW Sydney, Sydney, NSW 2052</t>
  </si>
  <si>
    <t>Department of Ecology, Environment and Evolution, La Trobe University, 133 McKoy St., Wodonga, Vic 3690</t>
  </si>
  <si>
    <t>Ahyong, S.T.</t>
  </si>
  <si>
    <t>Blackmore, C.J.</t>
  </si>
  <si>
    <t>Brizuela-Torres, D.</t>
  </si>
  <si>
    <t>Burns, P.A.</t>
  </si>
  <si>
    <t>Ensbey, M.</t>
  </si>
  <si>
    <t>Ferris, J.</t>
  </si>
  <si>
    <t>Lawler, I.</t>
  </si>
  <si>
    <t>McCormack, R.B.</t>
  </si>
  <si>
    <t>Lawler , S.</t>
  </si>
  <si>
    <t>Wilkinson, D.P.</t>
  </si>
  <si>
    <t>Research Institute for the Environment and Livelihoods, Charles Darwin University, Darwin, NT 0909,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</si>
</sst>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_-* #,##0_-;\-* #,##0_-;_-* &quot;-&quot;??_-;_-@_-"/>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i/>
      <sz val="11"/>
      <color theme="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font>
    <font>
      <sz val="11"/>
      <color theme="1"/>
      <name val="Calibri"/>
      <family val="2"/>
      <scheme val="minor"/>
    </font>
    <font>
      <b/>
      <sz val="11"/>
      <color rgb="FFFF0000"/>
      <name val="Calibri"/>
      <family val="2"/>
      <scheme val="minor"/>
    </font>
    <font>
      <sz val="11"/>
      <color rgb="FF000000"/>
      <name val="Calibri"/>
      <family val="2"/>
    </font>
    <font>
      <sz val="11"/>
      <name val="Calibri"/>
      <family val="2"/>
    </font>
    <font>
      <b/>
      <sz val="14"/>
      <color theme="1"/>
      <name val="Calibri"/>
      <family val="2"/>
      <scheme val="minor"/>
    </font>
    <font>
      <sz val="11"/>
      <color rgb="FF000000"/>
      <name val="Calibri"/>
      <family val="2"/>
      <scheme val="minor"/>
    </font>
    <font>
      <sz val="11"/>
      <color rgb="FF262626"/>
      <name val="Calibri"/>
      <family val="2"/>
      <scheme val="minor"/>
    </font>
    <font>
      <sz val="11"/>
      <color rgb="FF0070C0"/>
      <name val="Calibri"/>
      <family val="2"/>
      <scheme val="minor"/>
    </font>
    <font>
      <u/>
      <sz val="11"/>
      <color theme="10"/>
      <name val="Calibri"/>
      <family val="2"/>
      <scheme val="minor"/>
    </font>
    <font>
      <sz val="9"/>
      <color theme="1"/>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9C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4.9989318521683403E-2"/>
        <bgColor indexed="64"/>
      </patternFill>
    </fill>
  </fills>
  <borders count="5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3" fillId="0" borderId="0"/>
    <xf numFmtId="0" fontId="9" fillId="0" borderId="0"/>
    <xf numFmtId="43" fontId="11" fillId="0" borderId="0" applyFont="0" applyFill="0" applyBorder="0" applyAlignment="0" applyProtection="0"/>
    <xf numFmtId="0" fontId="19" fillId="0" borderId="0" applyNumberFormat="0" applyFill="0" applyBorder="0" applyAlignment="0" applyProtection="0"/>
  </cellStyleXfs>
  <cellXfs count="730">
    <xf numFmtId="0" fontId="0" fillId="0" borderId="0" xfId="0"/>
    <xf numFmtId="0" fontId="0" fillId="0" borderId="0" xfId="0" applyAlignment="1">
      <alignment horizontal="center" vertical="center"/>
    </xf>
    <xf numFmtId="0" fontId="0" fillId="2" borderId="5" xfId="0" applyFill="1" applyBorder="1" applyAlignment="1">
      <alignment vertical="top" wrapText="1"/>
    </xf>
    <xf numFmtId="0" fontId="0" fillId="3" borderId="5" xfId="0" applyFill="1" applyBorder="1" applyAlignment="1">
      <alignment vertical="top" wrapText="1"/>
    </xf>
    <xf numFmtId="2" fontId="0" fillId="4" borderId="5" xfId="0" applyNumberFormat="1" applyFill="1" applyBorder="1" applyAlignment="1">
      <alignment horizontal="left" vertical="top" wrapText="1"/>
    </xf>
    <xf numFmtId="2" fontId="0" fillId="5" borderId="5" xfId="0" applyNumberFormat="1" applyFill="1" applyBorder="1" applyAlignment="1">
      <alignment horizontal="left" vertical="top" wrapText="1"/>
    </xf>
    <xf numFmtId="2" fontId="0" fillId="6" borderId="5" xfId="0" applyNumberFormat="1" applyFill="1" applyBorder="1" applyAlignment="1">
      <alignment horizontal="left" vertical="top" wrapText="1"/>
    </xf>
    <xf numFmtId="0" fontId="0" fillId="0" borderId="0" xfId="0" quotePrefix="1"/>
    <xf numFmtId="2" fontId="0" fillId="0" borderId="0" xfId="0" applyNumberFormat="1"/>
    <xf numFmtId="0" fontId="0" fillId="0" borderId="0" xfId="1" applyFont="1"/>
    <xf numFmtId="0" fontId="0" fillId="9" borderId="0" xfId="0" applyFill="1"/>
    <xf numFmtId="0" fontId="4" fillId="0" borderId="0" xfId="0" applyFont="1" applyAlignment="1">
      <alignment horizontal="right"/>
    </xf>
    <xf numFmtId="0" fontId="2" fillId="0" borderId="0" xfId="0" applyFont="1" applyAlignment="1">
      <alignment horizontal="right"/>
    </xf>
    <xf numFmtId="0" fontId="0" fillId="0" borderId="2" xfId="0" applyBorder="1"/>
    <xf numFmtId="0" fontId="0" fillId="0" borderId="3" xfId="0" applyBorder="1"/>
    <xf numFmtId="0" fontId="0" fillId="0" borderId="4" xfId="0" applyBorder="1"/>
    <xf numFmtId="2" fontId="2" fillId="7" borderId="3" xfId="0" applyNumberFormat="1" applyFont="1" applyFill="1" applyBorder="1" applyAlignment="1">
      <alignment vertical="top" wrapText="1"/>
    </xf>
    <xf numFmtId="2" fontId="2" fillId="6" borderId="3" xfId="0" applyNumberFormat="1" applyFont="1" applyFill="1" applyBorder="1" applyAlignment="1">
      <alignment vertical="top" wrapText="1"/>
    </xf>
    <xf numFmtId="2" fontId="2" fillId="5" borderId="3" xfId="0" applyNumberFormat="1" applyFont="1" applyFill="1" applyBorder="1" applyAlignment="1">
      <alignment vertical="top" wrapText="1"/>
    </xf>
    <xf numFmtId="2" fontId="2" fillId="0" borderId="3" xfId="0" applyNumberFormat="1" applyFont="1" applyBorder="1" applyAlignment="1">
      <alignment vertical="top" wrapText="1"/>
    </xf>
    <xf numFmtId="2" fontId="2" fillId="10" borderId="4" xfId="0" applyNumberFormat="1" applyFont="1" applyFill="1" applyBorder="1" applyAlignment="1">
      <alignment vertical="top" wrapText="1"/>
    </xf>
    <xf numFmtId="0" fontId="0" fillId="0" borderId="5" xfId="0" applyBorder="1"/>
    <xf numFmtId="0" fontId="0" fillId="0" borderId="7" xfId="0" applyBorder="1"/>
    <xf numFmtId="0" fontId="0" fillId="0" borderId="8" xfId="0" applyBorder="1"/>
    <xf numFmtId="2" fontId="0" fillId="5" borderId="0" xfId="0" applyNumberFormat="1" applyFill="1"/>
    <xf numFmtId="2" fontId="0" fillId="6" borderId="0" xfId="0" applyNumberFormat="1" applyFill="1"/>
    <xf numFmtId="2" fontId="0" fillId="0" borderId="8" xfId="0" applyNumberFormat="1" applyBorder="1"/>
    <xf numFmtId="2" fontId="0" fillId="10" borderId="9" xfId="0" applyNumberFormat="1" applyFill="1" applyBorder="1"/>
    <xf numFmtId="2" fontId="0" fillId="0" borderId="8" xfId="0" applyNumberFormat="1" applyBorder="1" applyAlignment="1">
      <alignment horizontal="center" vertical="center"/>
    </xf>
    <xf numFmtId="0" fontId="0" fillId="0" borderId="9" xfId="0" applyBorder="1"/>
    <xf numFmtId="2" fontId="0" fillId="2" borderId="0" xfId="0" applyNumberFormat="1" applyFill="1"/>
    <xf numFmtId="2" fontId="0" fillId="3" borderId="0" xfId="0" applyNumberFormat="1" applyFill="1"/>
    <xf numFmtId="2" fontId="0" fillId="12" borderId="9" xfId="0" applyNumberFormat="1" applyFill="1" applyBorder="1"/>
    <xf numFmtId="0" fontId="0" fillId="0" borderId="1" xfId="0" applyBorder="1"/>
    <xf numFmtId="2" fontId="0" fillId="0" borderId="1" xfId="0" applyNumberFormat="1" applyBorder="1"/>
    <xf numFmtId="2" fontId="0" fillId="5" borderId="1" xfId="0" applyNumberFormat="1" applyFill="1" applyBorder="1"/>
    <xf numFmtId="2" fontId="0" fillId="10" borderId="10" xfId="0" applyNumberFormat="1" applyFill="1" applyBorder="1"/>
    <xf numFmtId="0" fontId="0" fillId="0" borderId="6" xfId="0" applyBorder="1" applyAlignment="1">
      <alignment vertical="top" wrapText="1"/>
    </xf>
    <xf numFmtId="0" fontId="0" fillId="0" borderId="5" xfId="0" applyBorder="1" applyAlignment="1">
      <alignment vertical="top" wrapText="1"/>
    </xf>
    <xf numFmtId="2" fontId="0" fillId="7" borderId="6" xfId="0" applyNumberFormat="1" applyFill="1" applyBorder="1" applyAlignment="1">
      <alignment horizontal="left" vertical="top" wrapText="1"/>
    </xf>
    <xf numFmtId="2" fontId="0" fillId="7" borderId="5" xfId="0" applyNumberFormat="1" applyFill="1" applyBorder="1" applyAlignment="1">
      <alignment vertical="top" wrapText="1"/>
    </xf>
    <xf numFmtId="0" fontId="0" fillId="0" borderId="0" xfId="0" applyBorder="1"/>
    <xf numFmtId="2" fontId="0" fillId="6" borderId="5" xfId="0" applyNumberFormat="1" applyFill="1" applyBorder="1" applyAlignment="1">
      <alignment vertical="top" wrapText="1"/>
    </xf>
    <xf numFmtId="2" fontId="0" fillId="5" borderId="5" xfId="0" applyNumberFormat="1" applyFill="1" applyBorder="1" applyAlignment="1">
      <alignment vertical="top" wrapText="1"/>
    </xf>
    <xf numFmtId="1" fontId="0" fillId="0" borderId="5" xfId="0" applyNumberFormat="1" applyBorder="1" applyAlignment="1">
      <alignment vertical="top" wrapText="1"/>
    </xf>
    <xf numFmtId="2" fontId="0" fillId="0" borderId="6" xfId="0" applyNumberFormat="1" applyBorder="1" applyAlignment="1">
      <alignment vertical="top" wrapText="1"/>
    </xf>
    <xf numFmtId="2" fontId="0" fillId="0" borderId="5" xfId="0" applyNumberFormat="1" applyBorder="1" applyAlignment="1">
      <alignment vertical="top" wrapText="1"/>
    </xf>
    <xf numFmtId="2" fontId="0" fillId="11" borderId="5" xfId="0" applyNumberFormat="1" applyFill="1" applyBorder="1" applyAlignment="1">
      <alignment vertical="top" wrapText="1"/>
    </xf>
    <xf numFmtId="1" fontId="0" fillId="10" borderId="7" xfId="0" applyNumberFormat="1" applyFill="1" applyBorder="1" applyAlignment="1">
      <alignment vertical="top" wrapText="1"/>
    </xf>
    <xf numFmtId="0" fontId="0" fillId="2" borderId="0" xfId="0" applyFill="1"/>
    <xf numFmtId="0" fontId="6" fillId="2" borderId="0" xfId="0" applyFont="1" applyFill="1"/>
    <xf numFmtId="0" fontId="0" fillId="13" borderId="0" xfId="0" applyFill="1"/>
    <xf numFmtId="0" fontId="6" fillId="0" borderId="0" xfId="0" applyFont="1"/>
    <xf numFmtId="0" fontId="6" fillId="2" borderId="0" xfId="0" applyFont="1" applyFill="1" applyBorder="1"/>
    <xf numFmtId="0" fontId="0" fillId="2" borderId="0" xfId="0" applyFill="1" applyBorder="1"/>
    <xf numFmtId="0" fontId="6" fillId="0" borderId="0" xfId="0" applyFont="1" applyBorder="1"/>
    <xf numFmtId="0" fontId="6" fillId="5" borderId="0" xfId="0" applyFont="1" applyFill="1"/>
    <xf numFmtId="0" fontId="6" fillId="6" borderId="0" xfId="0" applyFont="1" applyFill="1"/>
    <xf numFmtId="0" fontId="6" fillId="14" borderId="0" xfId="0" applyFont="1" applyFill="1"/>
    <xf numFmtId="2" fontId="0" fillId="6" borderId="0" xfId="0" applyNumberFormat="1" applyFill="1" applyBorder="1"/>
    <xf numFmtId="2" fontId="0" fillId="5" borderId="0" xfId="0" applyNumberFormat="1" applyFill="1" applyBorder="1"/>
    <xf numFmtId="2" fontId="0" fillId="11" borderId="0" xfId="0" applyNumberFormat="1" applyFill="1" applyBorder="1"/>
    <xf numFmtId="1" fontId="0" fillId="10" borderId="9" xfId="0" applyNumberFormat="1" applyFill="1" applyBorder="1"/>
    <xf numFmtId="0" fontId="0" fillId="7" borderId="0" xfId="0" applyFill="1" applyBorder="1"/>
    <xf numFmtId="0" fontId="5" fillId="0" borderId="0" xfId="0" applyFont="1" applyBorder="1"/>
    <xf numFmtId="0" fontId="0" fillId="0" borderId="0" xfId="0" applyBorder="1" applyAlignment="1">
      <alignment horizontal="center" vertical="center"/>
    </xf>
    <xf numFmtId="2" fontId="0" fillId="0" borderId="7" xfId="0" applyNumberFormat="1" applyBorder="1" applyAlignment="1">
      <alignment vertical="top" wrapText="1"/>
    </xf>
    <xf numFmtId="0" fontId="0" fillId="0" borderId="0" xfId="0" applyAlignment="1">
      <alignment vertical="top"/>
    </xf>
    <xf numFmtId="2" fontId="0" fillId="0" borderId="9" xfId="0" applyNumberFormat="1" applyBorder="1"/>
    <xf numFmtId="0" fontId="0" fillId="0" borderId="8" xfId="0" applyBorder="1" applyAlignment="1">
      <alignment vertical="top"/>
    </xf>
    <xf numFmtId="2" fontId="0" fillId="7" borderId="0" xfId="0" applyNumberFormat="1" applyFill="1" applyBorder="1"/>
    <xf numFmtId="2" fontId="0" fillId="10" borderId="0" xfId="0" applyNumberFormat="1" applyFill="1" applyBorder="1"/>
    <xf numFmtId="2" fontId="0" fillId="11" borderId="9" xfId="0" applyNumberFormat="1" applyFill="1" applyBorder="1"/>
    <xf numFmtId="0" fontId="1" fillId="0" borderId="8" xfId="0" applyFont="1" applyBorder="1"/>
    <xf numFmtId="0" fontId="1" fillId="0" borderId="0" xfId="0" applyFont="1" applyBorder="1"/>
    <xf numFmtId="165" fontId="0" fillId="0" borderId="8" xfId="0" applyNumberFormat="1" applyBorder="1"/>
    <xf numFmtId="165" fontId="0" fillId="0" borderId="0" xfId="0" applyNumberFormat="1" applyBorder="1"/>
    <xf numFmtId="2" fontId="0" fillId="0" borderId="0" xfId="0" applyNumberFormat="1" applyBorder="1"/>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wrapText="1"/>
    </xf>
    <xf numFmtId="0" fontId="0" fillId="5" borderId="0" xfId="0" applyFill="1"/>
    <xf numFmtId="0" fontId="0" fillId="15" borderId="0" xfId="0" applyFill="1"/>
    <xf numFmtId="0" fontId="6" fillId="0" borderId="0" xfId="0" applyFont="1" applyAlignment="1">
      <alignment vertical="top"/>
    </xf>
    <xf numFmtId="0" fontId="0" fillId="2" borderId="6" xfId="0" applyFill="1" applyBorder="1" applyAlignment="1">
      <alignment vertical="top" wrapText="1"/>
    </xf>
    <xf numFmtId="0" fontId="14" fillId="0" borderId="0" xfId="0" applyFont="1" applyBorder="1" applyAlignment="1">
      <alignment vertical="center" wrapText="1"/>
    </xf>
    <xf numFmtId="0" fontId="0" fillId="0" borderId="0" xfId="0" applyBorder="1" applyAlignment="1">
      <alignment vertical="top"/>
    </xf>
    <xf numFmtId="0" fontId="6" fillId="0" borderId="8" xfId="0" applyFont="1" applyBorder="1" applyAlignment="1">
      <alignment vertical="top"/>
    </xf>
    <xf numFmtId="0" fontId="6" fillId="0" borderId="0" xfId="0" applyFont="1" applyBorder="1" applyAlignment="1">
      <alignment vertical="top"/>
    </xf>
    <xf numFmtId="0" fontId="0" fillId="0" borderId="0" xfId="0" applyAlignment="1">
      <alignment wrapText="1"/>
    </xf>
    <xf numFmtId="2" fontId="0" fillId="8" borderId="7" xfId="0" applyNumberFormat="1" applyFill="1" applyBorder="1" applyAlignment="1">
      <alignment horizontal="left" vertical="top" wrapText="1"/>
    </xf>
    <xf numFmtId="2" fontId="0" fillId="0" borderId="8" xfId="0" applyNumberFormat="1" applyBorder="1" applyAlignment="1">
      <alignment horizontal="center"/>
    </xf>
    <xf numFmtId="2" fontId="0" fillId="8" borderId="9" xfId="0" applyNumberFormat="1" applyFill="1" applyBorder="1" applyAlignment="1">
      <alignment horizontal="center"/>
    </xf>
    <xf numFmtId="2" fontId="0" fillId="0" borderId="0" xfId="0" applyNumberFormat="1" applyBorder="1" applyAlignment="1">
      <alignment horizontal="center"/>
    </xf>
    <xf numFmtId="2" fontId="0" fillId="0" borderId="0" xfId="0" quotePrefix="1" applyNumberFormat="1" applyBorder="1"/>
    <xf numFmtId="0" fontId="0" fillId="0" borderId="0" xfId="0" quotePrefix="1" applyBorder="1"/>
    <xf numFmtId="0" fontId="4" fillId="0" borderId="0" xfId="0" applyFont="1" applyBorder="1" applyAlignment="1">
      <alignment horizontal="right"/>
    </xf>
    <xf numFmtId="0" fontId="2" fillId="0" borderId="0" xfId="0" applyFont="1" applyBorder="1" applyAlignment="1">
      <alignment horizontal="right"/>
    </xf>
    <xf numFmtId="0" fontId="2" fillId="0" borderId="5" xfId="0" applyFont="1" applyBorder="1" applyAlignment="1">
      <alignment vertical="top" wrapText="1"/>
    </xf>
    <xf numFmtId="2" fontId="2" fillId="0" borderId="6" xfId="0" applyNumberFormat="1" applyFont="1" applyBorder="1" applyAlignment="1">
      <alignment vertical="top" wrapText="1"/>
    </xf>
    <xf numFmtId="2" fontId="2" fillId="0" borderId="5" xfId="0" applyNumberFormat="1" applyFont="1" applyBorder="1" applyAlignment="1">
      <alignment vertical="top" wrapText="1"/>
    </xf>
    <xf numFmtId="2" fontId="2" fillId="5" borderId="5" xfId="0" applyNumberFormat="1" applyFont="1" applyFill="1" applyBorder="1" applyAlignment="1">
      <alignment vertical="top" wrapText="1"/>
    </xf>
    <xf numFmtId="2" fontId="2" fillId="6" borderId="5" xfId="0" applyNumberFormat="1" applyFont="1" applyFill="1" applyBorder="1" applyAlignment="1">
      <alignment vertical="top" wrapText="1"/>
    </xf>
    <xf numFmtId="2" fontId="2" fillId="10" borderId="5" xfId="0" applyNumberFormat="1" applyFont="1" applyFill="1" applyBorder="1" applyAlignment="1">
      <alignment vertical="top" wrapText="1"/>
    </xf>
    <xf numFmtId="1" fontId="2" fillId="11" borderId="7" xfId="0" applyNumberFormat="1" applyFont="1" applyFill="1" applyBorder="1" applyAlignment="1">
      <alignment vertical="top" wrapText="1"/>
    </xf>
    <xf numFmtId="2" fontId="2" fillId="0" borderId="7" xfId="0" applyNumberFormat="1" applyFont="1" applyBorder="1" applyAlignment="1">
      <alignment vertical="top" wrapText="1"/>
    </xf>
    <xf numFmtId="2" fontId="0" fillId="0" borderId="5" xfId="0" applyNumberFormat="1" applyFont="1" applyBorder="1" applyAlignment="1">
      <alignment vertical="top" wrapText="1"/>
    </xf>
    <xf numFmtId="0" fontId="1" fillId="0" borderId="9" xfId="0" applyFont="1" applyBorder="1"/>
    <xf numFmtId="2" fontId="0" fillId="6" borderId="3" xfId="0" applyNumberFormat="1" applyFill="1" applyBorder="1" applyAlignment="1">
      <alignment horizontal="left" vertical="top" wrapText="1"/>
    </xf>
    <xf numFmtId="0" fontId="0" fillId="0" borderId="0" xfId="0" applyFill="1" applyBorder="1" applyAlignment="1">
      <alignment wrapText="1"/>
    </xf>
    <xf numFmtId="0" fontId="5" fillId="0" borderId="0" xfId="0" applyFont="1" applyFill="1" applyBorder="1" applyAlignment="1">
      <alignment wrapText="1"/>
    </xf>
    <xf numFmtId="0" fontId="0" fillId="0" borderId="3" xfId="0" applyBorder="1" applyAlignment="1">
      <alignment vertical="top" wrapText="1"/>
    </xf>
    <xf numFmtId="0" fontId="0" fillId="0" borderId="0" xfId="0" applyBorder="1" applyAlignment="1">
      <alignment vertical="top" wrapText="1"/>
    </xf>
    <xf numFmtId="2" fontId="0" fillId="10" borderId="0" xfId="0" applyNumberFormat="1" applyFill="1" applyBorder="1" applyAlignment="1">
      <alignment wrapText="1"/>
    </xf>
    <xf numFmtId="2" fontId="0" fillId="2" borderId="0" xfId="0" applyNumberFormat="1" applyFill="1" applyBorder="1"/>
    <xf numFmtId="2" fontId="0" fillId="3" borderId="0" xfId="0" applyNumberFormat="1" applyFill="1" applyBorder="1"/>
    <xf numFmtId="2" fontId="0" fillId="2" borderId="0" xfId="0" applyNumberFormat="1" applyFill="1" applyBorder="1" applyAlignment="1">
      <alignment wrapText="1"/>
    </xf>
    <xf numFmtId="2" fontId="0" fillId="5" borderId="8" xfId="0" applyNumberFormat="1" applyFill="1" applyBorder="1"/>
    <xf numFmtId="2" fontId="0" fillId="2" borderId="8" xfId="0" applyNumberFormat="1" applyFill="1" applyBorder="1"/>
    <xf numFmtId="0" fontId="2" fillId="0" borderId="6" xfId="0" applyFont="1" applyBorder="1" applyAlignment="1">
      <alignment horizontal="left" vertical="top" wrapText="1"/>
    </xf>
    <xf numFmtId="2" fontId="0" fillId="10" borderId="8" xfId="0" applyNumberFormat="1" applyFill="1" applyBorder="1" applyAlignment="1">
      <alignment wrapText="1"/>
    </xf>
    <xf numFmtId="2" fontId="0" fillId="11" borderId="9" xfId="0" applyNumberFormat="1" applyFill="1" applyBorder="1" applyAlignment="1">
      <alignment wrapText="1"/>
    </xf>
    <xf numFmtId="2" fontId="0" fillId="2" borderId="8" xfId="0" applyNumberFormat="1" applyFill="1" applyBorder="1" applyAlignment="1">
      <alignment wrapText="1"/>
    </xf>
    <xf numFmtId="2" fontId="0" fillId="3" borderId="9" xfId="0" applyNumberFormat="1" applyFill="1" applyBorder="1" applyAlignment="1">
      <alignment wrapText="1"/>
    </xf>
    <xf numFmtId="0" fontId="0" fillId="0" borderId="0" xfId="0" applyFill="1"/>
    <xf numFmtId="0" fontId="0" fillId="13" borderId="0" xfId="0" applyFill="1" applyBorder="1" applyAlignment="1">
      <alignment horizontal="center" vertical="center"/>
    </xf>
    <xf numFmtId="0" fontId="0" fillId="13" borderId="11" xfId="0" applyFill="1" applyBorder="1" applyAlignment="1">
      <alignment horizontal="center" vertical="center"/>
    </xf>
    <xf numFmtId="0" fontId="0" fillId="13" borderId="11" xfId="0" applyFill="1" applyBorder="1" applyAlignment="1">
      <alignment horizontal="center" vertical="top" wrapText="1"/>
    </xf>
    <xf numFmtId="0" fontId="0" fillId="13" borderId="11" xfId="0" applyFill="1" applyBorder="1"/>
    <xf numFmtId="0" fontId="0" fillId="13" borderId="11" xfId="0" applyFill="1" applyBorder="1" applyAlignment="1">
      <alignment horizontal="left"/>
    </xf>
    <xf numFmtId="0" fontId="0" fillId="13" borderId="11" xfId="0" applyFill="1" applyBorder="1" applyAlignment="1">
      <alignment wrapText="1"/>
    </xf>
    <xf numFmtId="0" fontId="4" fillId="13" borderId="11" xfId="0" applyFont="1" applyFill="1" applyBorder="1" applyAlignment="1">
      <alignment horizontal="right"/>
    </xf>
    <xf numFmtId="0" fontId="2" fillId="13" borderId="11" xfId="0" applyFont="1" applyFill="1" applyBorder="1" applyAlignment="1">
      <alignment horizontal="right"/>
    </xf>
    <xf numFmtId="0" fontId="0" fillId="13" borderId="11" xfId="0" quotePrefix="1" applyFill="1" applyBorder="1"/>
    <xf numFmtId="0" fontId="0" fillId="13" borderId="11" xfId="0" applyFill="1" applyBorder="1" applyAlignment="1">
      <alignment horizontal="left" wrapText="1"/>
    </xf>
    <xf numFmtId="0" fontId="0" fillId="13" borderId="11" xfId="0" applyFill="1" applyBorder="1" applyAlignment="1">
      <alignment horizontal="center"/>
    </xf>
    <xf numFmtId="0" fontId="0" fillId="13" borderId="11" xfId="0" applyFont="1" applyFill="1" applyBorder="1" applyAlignment="1">
      <alignment horizontal="center"/>
    </xf>
    <xf numFmtId="0" fontId="10" fillId="0" borderId="0" xfId="2" applyFont="1" applyBorder="1"/>
    <xf numFmtId="2" fontId="0" fillId="0" borderId="3" xfId="0" applyNumberFormat="1" applyBorder="1" applyAlignment="1">
      <alignment vertical="top" wrapText="1"/>
    </xf>
    <xf numFmtId="2" fontId="0" fillId="0" borderId="0" xfId="0" applyNumberFormat="1" applyBorder="1" applyAlignment="1">
      <alignment vertical="top"/>
    </xf>
    <xf numFmtId="164" fontId="0" fillId="2" borderId="0" xfId="0" applyNumberFormat="1" applyFill="1" applyBorder="1"/>
    <xf numFmtId="164" fontId="0" fillId="3" borderId="0" xfId="0" applyNumberFormat="1" applyFill="1" applyBorder="1"/>
    <xf numFmtId="2" fontId="0" fillId="4" borderId="0" xfId="0" applyNumberFormat="1" applyFill="1" applyBorder="1" applyAlignment="1">
      <alignment vertical="top"/>
    </xf>
    <xf numFmtId="2" fontId="0" fillId="5" borderId="0" xfId="0" applyNumberFormat="1" applyFill="1" applyBorder="1" applyAlignment="1">
      <alignment vertical="top"/>
    </xf>
    <xf numFmtId="2" fontId="0" fillId="6" borderId="0" xfId="0" applyNumberFormat="1" applyFill="1" applyBorder="1" applyAlignment="1">
      <alignment vertical="top"/>
    </xf>
    <xf numFmtId="164" fontId="0" fillId="0" borderId="0" xfId="0" applyNumberFormat="1" applyBorder="1"/>
    <xf numFmtId="0" fontId="0" fillId="0" borderId="0" xfId="0" applyFill="1" applyBorder="1"/>
    <xf numFmtId="0" fontId="0" fillId="0" borderId="0" xfId="0" applyFill="1" applyBorder="1" applyAlignment="1">
      <alignment vertical="top"/>
    </xf>
    <xf numFmtId="2" fontId="0" fillId="0" borderId="0" xfId="0" applyNumberFormat="1" applyFill="1" applyBorder="1"/>
    <xf numFmtId="0" fontId="10" fillId="0" borderId="0" xfId="2" applyFont="1" applyFill="1" applyBorder="1"/>
    <xf numFmtId="2" fontId="0" fillId="0" borderId="0" xfId="0" applyNumberFormat="1" applyFill="1"/>
    <xf numFmtId="0" fontId="0" fillId="13" borderId="11" xfId="0" applyFill="1" applyBorder="1" applyAlignment="1">
      <alignment vertical="top" wrapText="1"/>
    </xf>
    <xf numFmtId="0" fontId="0" fillId="13" borderId="11" xfId="0" applyFill="1" applyBorder="1" applyAlignment="1">
      <alignment horizontal="left" vertical="top" wrapText="1"/>
    </xf>
    <xf numFmtId="0" fontId="0" fillId="13" borderId="11" xfId="0" applyFill="1" applyBorder="1" applyAlignment="1">
      <alignment vertical="top"/>
    </xf>
    <xf numFmtId="0" fontId="0" fillId="13" borderId="11" xfId="0" applyFill="1" applyBorder="1" applyAlignment="1">
      <alignment horizontal="left" vertical="top"/>
    </xf>
    <xf numFmtId="0" fontId="0" fillId="13" borderId="11" xfId="0" applyFont="1" applyFill="1" applyBorder="1"/>
    <xf numFmtId="0" fontId="0" fillId="13" borderId="11" xfId="0" applyFont="1" applyFill="1" applyBorder="1" applyAlignment="1">
      <alignment horizontal="left"/>
    </xf>
    <xf numFmtId="2" fontId="0" fillId="13" borderId="11" xfId="0" applyNumberFormat="1" applyFont="1" applyFill="1" applyBorder="1" applyAlignment="1">
      <alignment vertical="top"/>
    </xf>
    <xf numFmtId="0" fontId="0" fillId="13" borderId="11" xfId="0" applyFont="1" applyFill="1" applyBorder="1" applyAlignment="1">
      <alignment vertical="top"/>
    </xf>
    <xf numFmtId="0" fontId="0" fillId="13" borderId="11" xfId="0" applyFont="1" applyFill="1" applyBorder="1" applyAlignment="1">
      <alignment horizontal="left" vertical="top"/>
    </xf>
    <xf numFmtId="2" fontId="0" fillId="13" borderId="11" xfId="0" applyNumberFormat="1" applyFont="1" applyFill="1" applyBorder="1"/>
    <xf numFmtId="2" fontId="0" fillId="0" borderId="9" xfId="0" applyNumberFormat="1" applyFill="1" applyBorder="1"/>
    <xf numFmtId="0" fontId="0" fillId="0" borderId="0" xfId="0" applyFill="1" applyAlignment="1">
      <alignment horizontal="center" vertical="center"/>
    </xf>
    <xf numFmtId="0" fontId="0" fillId="0" borderId="9" xfId="0" applyFill="1" applyBorder="1"/>
    <xf numFmtId="0" fontId="0" fillId="0" borderId="0" xfId="0" applyFill="1" applyBorder="1" applyAlignment="1">
      <alignment horizontal="center" vertical="center"/>
    </xf>
    <xf numFmtId="2" fontId="0" fillId="7" borderId="9" xfId="0" applyNumberFormat="1" applyFill="1" applyBorder="1"/>
    <xf numFmtId="164" fontId="0" fillId="0" borderId="0" xfId="0" applyNumberFormat="1" applyFill="1" applyBorder="1"/>
    <xf numFmtId="2" fontId="0" fillId="13" borderId="13" xfId="0" applyNumberFormat="1" applyFont="1" applyFill="1" applyBorder="1" applyAlignment="1">
      <alignment vertical="top"/>
    </xf>
    <xf numFmtId="0" fontId="0" fillId="13" borderId="13" xfId="0" applyFont="1" applyFill="1" applyBorder="1" applyAlignment="1">
      <alignment vertical="top"/>
    </xf>
    <xf numFmtId="0" fontId="0" fillId="13" borderId="13" xfId="0" applyFont="1" applyFill="1" applyBorder="1" applyAlignment="1">
      <alignment horizontal="center"/>
    </xf>
    <xf numFmtId="0" fontId="0" fillId="0" borderId="5" xfId="0" applyFill="1" applyBorder="1" applyAlignment="1">
      <alignment vertical="top" wrapText="1"/>
    </xf>
    <xf numFmtId="2" fontId="0" fillId="13" borderId="14" xfId="0" applyNumberFormat="1" applyFont="1" applyFill="1" applyBorder="1" applyAlignment="1">
      <alignment horizontal="left" vertical="top" wrapText="1"/>
    </xf>
    <xf numFmtId="0" fontId="0" fillId="13" borderId="14" xfId="0" applyFont="1" applyFill="1" applyBorder="1" applyAlignment="1">
      <alignment vertical="top" wrapText="1"/>
    </xf>
    <xf numFmtId="0" fontId="0" fillId="13" borderId="14" xfId="0" applyFont="1" applyFill="1" applyBorder="1" applyAlignment="1">
      <alignment horizontal="center" vertical="top" wrapText="1"/>
    </xf>
    <xf numFmtId="0" fontId="0" fillId="13" borderId="14" xfId="0" applyFont="1" applyFill="1" applyBorder="1" applyAlignment="1">
      <alignment horizontal="left" vertical="top" wrapText="1"/>
    </xf>
    <xf numFmtId="2" fontId="0" fillId="7" borderId="7" xfId="0" applyNumberFormat="1" applyFill="1" applyBorder="1" applyAlignment="1">
      <alignment vertical="top" wrapText="1"/>
    </xf>
    <xf numFmtId="2" fontId="0" fillId="0" borderId="5" xfId="0" applyNumberFormat="1" applyFill="1" applyBorder="1" applyAlignment="1">
      <alignment vertical="top" wrapText="1"/>
    </xf>
    <xf numFmtId="0" fontId="0" fillId="13" borderId="16" xfId="0" applyFill="1" applyBorder="1"/>
    <xf numFmtId="164" fontId="0" fillId="2" borderId="8" xfId="0" applyNumberFormat="1" applyFill="1" applyBorder="1"/>
    <xf numFmtId="164" fontId="0" fillId="0" borderId="8" xfId="0" applyNumberFormat="1" applyBorder="1"/>
    <xf numFmtId="0" fontId="10" fillId="0" borderId="8" xfId="2" applyFont="1" applyBorder="1"/>
    <xf numFmtId="2" fontId="0" fillId="13" borderId="20" xfId="0" applyNumberFormat="1" applyFont="1" applyFill="1" applyBorder="1" applyAlignment="1">
      <alignment vertical="top"/>
    </xf>
    <xf numFmtId="0" fontId="0" fillId="13" borderId="21" xfId="0" applyFill="1" applyBorder="1" applyAlignment="1">
      <alignment horizontal="center" vertical="center"/>
    </xf>
    <xf numFmtId="2" fontId="0" fillId="13" borderId="20" xfId="0" applyNumberFormat="1" applyFont="1" applyFill="1" applyBorder="1"/>
    <xf numFmtId="0" fontId="0" fillId="13" borderId="21" xfId="0" applyFill="1" applyBorder="1"/>
    <xf numFmtId="2" fontId="0" fillId="13" borderId="21" xfId="0" applyNumberFormat="1" applyFill="1" applyBorder="1"/>
    <xf numFmtId="2" fontId="0" fillId="13" borderId="22" xfId="0" applyNumberFormat="1" applyFont="1" applyFill="1" applyBorder="1" applyAlignment="1">
      <alignment vertical="top" wrapText="1"/>
    </xf>
    <xf numFmtId="2" fontId="0" fillId="13" borderId="12" xfId="0" applyNumberFormat="1" applyFont="1" applyFill="1" applyBorder="1" applyAlignment="1">
      <alignment vertical="top" wrapText="1"/>
    </xf>
    <xf numFmtId="0" fontId="0" fillId="13" borderId="12" xfId="0" applyFont="1" applyFill="1" applyBorder="1"/>
    <xf numFmtId="0" fontId="0" fillId="13" borderId="12" xfId="0" applyFont="1" applyFill="1" applyBorder="1" applyAlignment="1">
      <alignment horizontal="center"/>
    </xf>
    <xf numFmtId="0" fontId="0" fillId="13" borderId="12" xfId="0" applyFont="1" applyFill="1" applyBorder="1" applyAlignment="1">
      <alignment horizontal="left"/>
    </xf>
    <xf numFmtId="0" fontId="0" fillId="13" borderId="23" xfId="0" applyFill="1" applyBorder="1" applyAlignment="1">
      <alignment horizontal="center" vertical="center"/>
    </xf>
    <xf numFmtId="2" fontId="0" fillId="13" borderId="24" xfId="0" applyNumberFormat="1" applyFont="1" applyFill="1" applyBorder="1" applyAlignment="1">
      <alignment vertical="top"/>
    </xf>
    <xf numFmtId="0" fontId="0" fillId="13" borderId="25" xfId="0" applyFill="1" applyBorder="1" applyAlignment="1">
      <alignment horizontal="center" vertical="center"/>
    </xf>
    <xf numFmtId="2" fontId="0" fillId="13" borderId="26" xfId="0" applyNumberFormat="1" applyFont="1" applyFill="1" applyBorder="1" applyAlignment="1">
      <alignment horizontal="left" vertical="top" wrapText="1"/>
    </xf>
    <xf numFmtId="0" fontId="0" fillId="13" borderId="27" xfId="0" applyFill="1" applyBorder="1" applyAlignment="1">
      <alignment horizontal="center" vertical="top" wrapText="1"/>
    </xf>
    <xf numFmtId="0" fontId="0" fillId="13" borderId="11" xfId="0" applyFill="1" applyBorder="1" applyAlignment="1">
      <alignment horizontal="left" vertical="center" wrapText="1"/>
    </xf>
    <xf numFmtId="0" fontId="2" fillId="13" borderId="11" xfId="0" applyFont="1" applyFill="1" applyBorder="1" applyAlignment="1">
      <alignment horizontal="center" vertical="top" wrapText="1"/>
    </xf>
    <xf numFmtId="0" fontId="0" fillId="13" borderId="11" xfId="0" applyFill="1" applyBorder="1" applyAlignment="1">
      <alignment horizontal="left" vertical="center"/>
    </xf>
    <xf numFmtId="0" fontId="0" fillId="13" borderId="11" xfId="0" applyFill="1" applyBorder="1" applyAlignment="1">
      <alignment horizontal="center" vertical="top"/>
    </xf>
    <xf numFmtId="0" fontId="14" fillId="13" borderId="11" xfId="0" applyFont="1" applyFill="1" applyBorder="1" applyAlignment="1">
      <alignment horizontal="left" vertical="center" wrapText="1"/>
    </xf>
    <xf numFmtId="0" fontId="0" fillId="13" borderId="17" xfId="0" applyFill="1" applyBorder="1"/>
    <xf numFmtId="0" fontId="0" fillId="13" borderId="18" xfId="0" applyFill="1" applyBorder="1"/>
    <xf numFmtId="0" fontId="2" fillId="13" borderId="18" xfId="0" applyFont="1" applyFill="1" applyBorder="1" applyAlignment="1">
      <alignment horizontal="center" vertical="center"/>
    </xf>
    <xf numFmtId="0" fontId="0" fillId="13" borderId="19" xfId="0" applyFill="1" applyBorder="1"/>
    <xf numFmtId="0" fontId="0" fillId="13" borderId="20" xfId="0" applyFill="1" applyBorder="1"/>
    <xf numFmtId="0" fontId="0" fillId="0" borderId="8" xfId="0" applyFill="1" applyBorder="1" applyAlignment="1">
      <alignment vertical="top"/>
    </xf>
    <xf numFmtId="0" fontId="0" fillId="0" borderId="8" xfId="0" applyFill="1" applyBorder="1"/>
    <xf numFmtId="0" fontId="6" fillId="0" borderId="0" xfId="0" applyFont="1" applyFill="1" applyBorder="1" applyAlignment="1">
      <alignment vertical="top"/>
    </xf>
    <xf numFmtId="2" fontId="0" fillId="0" borderId="6" xfId="0" applyNumberFormat="1" applyFont="1" applyBorder="1" applyAlignment="1">
      <alignment vertical="top" wrapText="1"/>
    </xf>
    <xf numFmtId="2" fontId="0" fillId="0" borderId="7" xfId="0" applyNumberFormat="1" applyFont="1" applyBorder="1" applyAlignment="1">
      <alignment vertical="top" wrapText="1"/>
    </xf>
    <xf numFmtId="0" fontId="6" fillId="0" borderId="0" xfId="0" applyFont="1" applyFill="1"/>
    <xf numFmtId="0" fontId="2" fillId="0" borderId="2" xfId="0" applyFont="1" applyBorder="1" applyAlignment="1">
      <alignment horizontal="center" vertical="center" wrapText="1"/>
    </xf>
    <xf numFmtId="0" fontId="0" fillId="0" borderId="4" xfId="0" applyBorder="1" applyAlignment="1">
      <alignment wrapText="1"/>
    </xf>
    <xf numFmtId="0" fontId="2" fillId="0" borderId="7" xfId="0" applyFont="1" applyBorder="1" applyAlignment="1">
      <alignment vertical="top" wrapText="1"/>
    </xf>
    <xf numFmtId="0" fontId="0" fillId="0" borderId="8" xfId="0" applyBorder="1" applyAlignment="1">
      <alignment horizontal="left" vertical="center"/>
    </xf>
    <xf numFmtId="0" fontId="0" fillId="0" borderId="8" xfId="0" applyFill="1" applyBorder="1" applyAlignment="1">
      <alignment horizontal="left" vertical="center"/>
    </xf>
    <xf numFmtId="0" fontId="0" fillId="0" borderId="8" xfId="0" applyBorder="1" applyAlignment="1">
      <alignment horizontal="left"/>
    </xf>
    <xf numFmtId="2" fontId="1" fillId="0" borderId="0" xfId="0" applyNumberFormat="1" applyFont="1"/>
    <xf numFmtId="2" fontId="12" fillId="0" borderId="0" xfId="0" applyNumberFormat="1" applyFont="1"/>
    <xf numFmtId="2" fontId="1" fillId="0" borderId="8" xfId="0" applyNumberFormat="1" applyFont="1" applyBorder="1"/>
    <xf numFmtId="2" fontId="1" fillId="0" borderId="0" xfId="0" applyNumberFormat="1" applyFont="1" applyBorder="1"/>
    <xf numFmtId="2" fontId="1" fillId="0" borderId="9" xfId="0" applyNumberFormat="1" applyFont="1" applyBorder="1"/>
    <xf numFmtId="2" fontId="6" fillId="0" borderId="8" xfId="0" applyNumberFormat="1" applyFont="1" applyBorder="1"/>
    <xf numFmtId="2" fontId="6" fillId="0" borderId="0" xfId="0" applyNumberFormat="1" applyFont="1"/>
    <xf numFmtId="2" fontId="6" fillId="0" borderId="9" xfId="0" applyNumberFormat="1" applyFont="1" applyBorder="1"/>
    <xf numFmtId="2" fontId="12" fillId="0" borderId="8" xfId="0" applyNumberFormat="1" applyFont="1" applyBorder="1"/>
    <xf numFmtId="2" fontId="12" fillId="0" borderId="0" xfId="0" applyNumberFormat="1" applyFont="1" applyBorder="1"/>
    <xf numFmtId="2" fontId="12" fillId="0" borderId="9" xfId="0" applyNumberFormat="1" applyFont="1" applyBorder="1"/>
    <xf numFmtId="2" fontId="0" fillId="0" borderId="8" xfId="0" applyNumberFormat="1" applyFont="1" applyBorder="1"/>
    <xf numFmtId="2" fontId="0" fillId="0" borderId="0" xfId="0" applyNumberFormat="1" applyFont="1"/>
    <xf numFmtId="2" fontId="0" fillId="0" borderId="9" xfId="0" applyNumberFormat="1" applyFont="1" applyBorder="1"/>
    <xf numFmtId="2" fontId="12" fillId="0" borderId="8" xfId="0" applyNumberFormat="1" applyFont="1" applyFill="1" applyBorder="1"/>
    <xf numFmtId="2" fontId="12" fillId="0" borderId="0" xfId="0" applyNumberFormat="1" applyFont="1" applyFill="1" applyBorder="1"/>
    <xf numFmtId="2" fontId="12" fillId="0" borderId="9" xfId="0" applyNumberFormat="1" applyFont="1" applyFill="1" applyBorder="1"/>
    <xf numFmtId="2" fontId="1" fillId="0" borderId="8" xfId="0" applyNumberFormat="1" applyFont="1" applyFill="1" applyBorder="1"/>
    <xf numFmtId="2" fontId="1" fillId="0" borderId="0" xfId="0" applyNumberFormat="1" applyFont="1" applyFill="1" applyBorder="1"/>
    <xf numFmtId="2" fontId="1" fillId="0" borderId="9" xfId="0" applyNumberFormat="1" applyFont="1" applyFill="1" applyBorder="1"/>
    <xf numFmtId="2" fontId="6" fillId="0" borderId="8" xfId="0" applyNumberFormat="1" applyFont="1" applyFill="1" applyBorder="1"/>
    <xf numFmtId="2" fontId="6" fillId="0" borderId="0" xfId="0" applyNumberFormat="1" applyFont="1" applyFill="1"/>
    <xf numFmtId="2" fontId="6" fillId="0" borderId="9" xfId="0" applyNumberFormat="1" applyFont="1" applyFill="1" applyBorder="1"/>
    <xf numFmtId="2" fontId="1" fillId="0" borderId="0" xfId="0" applyNumberFormat="1" applyFont="1" applyFill="1"/>
    <xf numFmtId="2" fontId="0" fillId="0" borderId="0" xfId="0" applyNumberFormat="1" applyFont="1" applyBorder="1"/>
    <xf numFmtId="0" fontId="0" fillId="0" borderId="0" xfId="0" applyFill="1" applyAlignment="1">
      <alignment vertical="top"/>
    </xf>
    <xf numFmtId="0" fontId="14" fillId="0" borderId="0" xfId="0" applyFont="1" applyFill="1" applyAlignment="1">
      <alignment vertical="center" wrapText="1"/>
    </xf>
    <xf numFmtId="0" fontId="6" fillId="0" borderId="0" xfId="0" applyFont="1" applyFill="1" applyAlignment="1">
      <alignment vertical="top"/>
    </xf>
    <xf numFmtId="0" fontId="14" fillId="0" borderId="0" xfId="0" applyFont="1" applyFill="1"/>
    <xf numFmtId="0" fontId="6" fillId="0" borderId="0" xfId="0" applyFont="1" applyFill="1" applyAlignment="1">
      <alignment vertical="center"/>
    </xf>
    <xf numFmtId="0" fontId="14" fillId="0" borderId="0" xfId="0" applyFont="1" applyFill="1" applyAlignment="1">
      <alignment vertical="center"/>
    </xf>
    <xf numFmtId="0" fontId="0" fillId="13" borderId="18" xfId="0" applyFill="1" applyBorder="1" applyAlignment="1">
      <alignment horizontal="left" vertical="center" wrapText="1"/>
    </xf>
    <xf numFmtId="0" fontId="0" fillId="13" borderId="18" xfId="0" applyFill="1" applyBorder="1" applyAlignment="1">
      <alignment horizontal="center" vertical="center" wrapText="1"/>
    </xf>
    <xf numFmtId="0" fontId="2" fillId="13" borderId="18" xfId="0" applyFont="1" applyFill="1" applyBorder="1" applyAlignment="1">
      <alignment horizontal="left" vertical="top" wrapText="1"/>
    </xf>
    <xf numFmtId="0" fontId="2" fillId="13" borderId="18" xfId="0" applyFont="1" applyFill="1" applyBorder="1" applyAlignment="1">
      <alignment horizontal="center" vertical="top" wrapText="1"/>
    </xf>
    <xf numFmtId="0" fontId="14" fillId="13" borderId="20" xfId="0" applyFont="1" applyFill="1" applyBorder="1" applyAlignment="1">
      <alignment vertical="center" wrapText="1"/>
    </xf>
    <xf numFmtId="0" fontId="0" fillId="13" borderId="20" xfId="0" applyFill="1" applyBorder="1" applyAlignment="1">
      <alignment vertical="top"/>
    </xf>
    <xf numFmtId="0" fontId="16" fillId="13" borderId="11" xfId="0" applyFont="1" applyFill="1" applyBorder="1"/>
    <xf numFmtId="0" fontId="16" fillId="13" borderId="11" xfId="0" applyFont="1" applyFill="1" applyBorder="1" applyAlignment="1">
      <alignment horizontal="left" vertical="top" wrapText="1"/>
    </xf>
    <xf numFmtId="0" fontId="16" fillId="13" borderId="11" xfId="0" applyFont="1" applyFill="1" applyBorder="1" applyAlignment="1">
      <alignment horizontal="center" vertical="top" wrapText="1"/>
    </xf>
    <xf numFmtId="0" fontId="16" fillId="13" borderId="11" xfId="0" applyFont="1" applyFill="1" applyBorder="1" applyAlignment="1">
      <alignment wrapText="1"/>
    </xf>
    <xf numFmtId="0" fontId="0" fillId="13" borderId="16" xfId="0" applyFill="1" applyBorder="1" applyAlignment="1">
      <alignment horizontal="center" vertical="top" wrapText="1"/>
    </xf>
    <xf numFmtId="0" fontId="0" fillId="0" borderId="0" xfId="0" applyFill="1" applyAlignment="1">
      <alignment wrapText="1"/>
    </xf>
    <xf numFmtId="0" fontId="16" fillId="0" borderId="0" xfId="0" applyFont="1" applyFill="1"/>
    <xf numFmtId="0" fontId="0" fillId="0" borderId="0" xfId="0" applyFill="1" applyAlignment="1">
      <alignment vertical="top" wrapText="1"/>
    </xf>
    <xf numFmtId="0" fontId="16" fillId="0" borderId="0" xfId="0" applyFont="1" applyFill="1" applyAlignment="1">
      <alignment wrapText="1"/>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wrapText="1"/>
    </xf>
    <xf numFmtId="165" fontId="0" fillId="0" borderId="9" xfId="0" applyNumberFormat="1" applyBorder="1"/>
    <xf numFmtId="0" fontId="16" fillId="13" borderId="16" xfId="0" applyFont="1" applyFill="1" applyBorder="1" applyAlignment="1">
      <alignment horizontal="left" vertical="top" wrapText="1"/>
    </xf>
    <xf numFmtId="0" fontId="0" fillId="13" borderId="16" xfId="0" applyFill="1" applyBorder="1" applyAlignment="1">
      <alignment horizontal="left" vertical="top" wrapText="1"/>
    </xf>
    <xf numFmtId="0" fontId="0" fillId="13" borderId="16" xfId="0" applyFill="1" applyBorder="1" applyAlignment="1">
      <alignment horizontal="left" vertical="top"/>
    </xf>
    <xf numFmtId="0" fontId="16" fillId="13" borderId="16" xfId="0" applyFont="1" applyFill="1" applyBorder="1" applyAlignment="1">
      <alignment horizontal="center" vertical="top" wrapText="1"/>
    </xf>
    <xf numFmtId="2" fontId="0" fillId="10" borderId="0" xfId="0" applyNumberFormat="1" applyFill="1" applyBorder="1" applyAlignment="1">
      <alignment horizontal="center" vertical="center"/>
    </xf>
    <xf numFmtId="0" fontId="1" fillId="10" borderId="0" xfId="0" applyFont="1" applyFill="1" applyBorder="1"/>
    <xf numFmtId="0" fontId="0" fillId="10" borderId="0" xfId="0" applyFill="1" applyBorder="1"/>
    <xf numFmtId="0" fontId="0" fillId="11" borderId="9" xfId="0" applyFill="1" applyBorder="1"/>
    <xf numFmtId="2" fontId="0" fillId="5" borderId="0" xfId="0" applyNumberFormat="1" applyFill="1" applyAlignment="1">
      <alignment horizontal="center" vertical="center"/>
    </xf>
    <xf numFmtId="0" fontId="1" fillId="5" borderId="0" xfId="0" applyFont="1" applyFill="1"/>
    <xf numFmtId="0" fontId="0" fillId="6" borderId="0" xfId="0" applyFill="1"/>
    <xf numFmtId="0" fontId="6" fillId="13" borderId="11" xfId="0" applyFont="1" applyFill="1" applyBorder="1" applyAlignment="1">
      <alignment horizontal="left" vertical="center"/>
    </xf>
    <xf numFmtId="0" fontId="6" fillId="13" borderId="11" xfId="0" applyFont="1" applyFill="1" applyBorder="1"/>
    <xf numFmtId="0" fontId="6" fillId="13" borderId="11" xfId="0" applyFont="1" applyFill="1" applyBorder="1" applyAlignment="1">
      <alignment vertical="top"/>
    </xf>
    <xf numFmtId="0" fontId="6" fillId="13" borderId="11" xfId="0" applyFont="1" applyFill="1" applyBorder="1" applyAlignment="1">
      <alignment horizontal="left" vertical="top"/>
    </xf>
    <xf numFmtId="0" fontId="6" fillId="5" borderId="0" xfId="0" applyFont="1" applyFill="1" applyBorder="1"/>
    <xf numFmtId="0" fontId="6" fillId="6" borderId="0" xfId="0" applyFont="1" applyFill="1" applyBorder="1"/>
    <xf numFmtId="0" fontId="6" fillId="14" borderId="0" xfId="0" applyFont="1" applyFill="1" applyBorder="1"/>
    <xf numFmtId="2" fontId="0" fillId="0" borderId="7" xfId="0" applyNumberFormat="1" applyFill="1" applyBorder="1" applyAlignment="1">
      <alignment vertical="top" wrapText="1"/>
    </xf>
    <xf numFmtId="2" fontId="0" fillId="0" borderId="8" xfId="0" applyNumberFormat="1" applyFill="1" applyBorder="1"/>
    <xf numFmtId="0" fontId="0" fillId="13" borderId="12" xfId="0" applyFill="1" applyBorder="1"/>
    <xf numFmtId="0" fontId="0" fillId="13" borderId="13" xfId="0" applyFill="1" applyBorder="1"/>
    <xf numFmtId="2" fontId="0" fillId="4" borderId="0" xfId="0" applyNumberFormat="1" applyFill="1" applyBorder="1"/>
    <xf numFmtId="164" fontId="6" fillId="13" borderId="11" xfId="0" applyNumberFormat="1" applyFont="1" applyFill="1" applyBorder="1"/>
    <xf numFmtId="0" fontId="0" fillId="0" borderId="2" xfId="0" applyFill="1" applyBorder="1"/>
    <xf numFmtId="0" fontId="0" fillId="0" borderId="3" xfId="0" applyFill="1" applyBorder="1"/>
    <xf numFmtId="0" fontId="0" fillId="0" borderId="6" xfId="0" applyFill="1" applyBorder="1" applyAlignment="1">
      <alignment vertical="top" wrapText="1"/>
    </xf>
    <xf numFmtId="0" fontId="6" fillId="0" borderId="0" xfId="0" applyFont="1" applyFill="1" applyBorder="1"/>
    <xf numFmtId="0" fontId="6" fillId="0" borderId="0" xfId="0" applyFont="1" applyFill="1" applyBorder="1" applyAlignment="1">
      <alignment vertical="center"/>
    </xf>
    <xf numFmtId="0" fontId="0" fillId="2" borderId="0" xfId="0" applyFill="1" applyBorder="1" applyAlignment="1">
      <alignment vertical="top"/>
    </xf>
    <xf numFmtId="0" fontId="0" fillId="5" borderId="0" xfId="0" applyFill="1" applyBorder="1"/>
    <xf numFmtId="2" fontId="0" fillId="6" borderId="3" xfId="0" applyNumberFormat="1" applyFill="1" applyBorder="1"/>
    <xf numFmtId="0" fontId="0" fillId="6" borderId="0" xfId="0" applyFill="1" applyBorder="1"/>
    <xf numFmtId="0" fontId="0" fillId="13" borderId="15" xfId="0" applyFont="1" applyFill="1" applyBorder="1" applyAlignment="1">
      <alignment horizontal="center" vertical="top" wrapText="1"/>
    </xf>
    <xf numFmtId="0" fontId="0" fillId="13" borderId="16" xfId="0" applyFont="1" applyFill="1" applyBorder="1" applyAlignment="1">
      <alignment horizontal="left" vertical="top"/>
    </xf>
    <xf numFmtId="0" fontId="0" fillId="13" borderId="16" xfId="0" applyFont="1" applyFill="1" applyBorder="1" applyAlignment="1">
      <alignment horizontal="left"/>
    </xf>
    <xf numFmtId="0" fontId="0" fillId="13" borderId="16" xfId="0" applyFont="1" applyFill="1" applyBorder="1" applyAlignment="1">
      <alignment horizontal="center"/>
    </xf>
    <xf numFmtId="0" fontId="0" fillId="13" borderId="16" xfId="0" applyFont="1" applyFill="1" applyBorder="1"/>
    <xf numFmtId="0" fontId="1" fillId="13" borderId="16" xfId="0" applyFont="1" applyFill="1" applyBorder="1" applyAlignment="1">
      <alignment horizontal="left"/>
    </xf>
    <xf numFmtId="0" fontId="1" fillId="13" borderId="16" xfId="0" applyFont="1" applyFill="1" applyBorder="1" applyAlignment="1">
      <alignment horizontal="left" vertical="top"/>
    </xf>
    <xf numFmtId="0" fontId="0" fillId="13" borderId="12" xfId="0" applyFont="1" applyFill="1" applyBorder="1" applyAlignment="1">
      <alignment horizontal="left" vertical="top"/>
    </xf>
    <xf numFmtId="0" fontId="0" fillId="13" borderId="0" xfId="0" applyFont="1" applyFill="1" applyBorder="1" applyAlignment="1">
      <alignment horizontal="center"/>
    </xf>
    <xf numFmtId="0" fontId="0" fillId="13" borderId="0" xfId="0" applyFont="1" applyFill="1" applyBorder="1" applyAlignment="1">
      <alignment horizontal="left"/>
    </xf>
    <xf numFmtId="0" fontId="0" fillId="0" borderId="0" xfId="0" applyFill="1" applyBorder="1" applyAlignment="1">
      <alignment vertical="top" wrapText="1"/>
    </xf>
    <xf numFmtId="0" fontId="0" fillId="13" borderId="0" xfId="0" applyFont="1" applyFill="1" applyBorder="1" applyAlignment="1">
      <alignment horizontal="center" vertical="top" wrapText="1"/>
    </xf>
    <xf numFmtId="0" fontId="0" fillId="13" borderId="0" xfId="0" applyFont="1" applyFill="1" applyBorder="1" applyAlignment="1">
      <alignment horizontal="left" vertical="top" wrapText="1"/>
    </xf>
    <xf numFmtId="0" fontId="0" fillId="2" borderId="0" xfId="0" applyFill="1" applyBorder="1" applyAlignment="1">
      <alignment vertical="top" wrapText="1"/>
    </xf>
    <xf numFmtId="0" fontId="0" fillId="3" borderId="0" xfId="0" applyFill="1" applyBorder="1" applyAlignment="1">
      <alignment vertical="top" wrapText="1"/>
    </xf>
    <xf numFmtId="2" fontId="0" fillId="4" borderId="0" xfId="0" applyNumberFormat="1" applyFill="1" applyBorder="1" applyAlignment="1">
      <alignment horizontal="left" vertical="top" wrapText="1"/>
    </xf>
    <xf numFmtId="2" fontId="0" fillId="5" borderId="0" xfId="0" applyNumberFormat="1" applyFill="1" applyBorder="1" applyAlignment="1">
      <alignment horizontal="left" vertical="top" wrapText="1"/>
    </xf>
    <xf numFmtId="2" fontId="0" fillId="6" borderId="0" xfId="0" applyNumberFormat="1" applyFill="1" applyBorder="1" applyAlignment="1">
      <alignment horizontal="left" vertical="top" wrapText="1"/>
    </xf>
    <xf numFmtId="0" fontId="0" fillId="13" borderId="0" xfId="0" applyFont="1" applyFill="1" applyBorder="1" applyAlignment="1">
      <alignment horizontal="left" vertical="top"/>
    </xf>
    <xf numFmtId="0" fontId="0" fillId="13" borderId="0" xfId="0" applyFill="1" applyBorder="1" applyAlignment="1">
      <alignment vertical="top"/>
    </xf>
    <xf numFmtId="0" fontId="0" fillId="13" borderId="0" xfId="0" applyFill="1" applyBorder="1" applyAlignment="1">
      <alignment horizontal="left" vertical="top"/>
    </xf>
    <xf numFmtId="0" fontId="0" fillId="13" borderId="0" xfId="0" applyFill="1" applyBorder="1" applyAlignment="1">
      <alignment horizontal="center" vertical="top"/>
    </xf>
    <xf numFmtId="0" fontId="0" fillId="13" borderId="0" xfId="0" applyFill="1" applyBorder="1"/>
    <xf numFmtId="0" fontId="0" fillId="13" borderId="0" xfId="0" applyFill="1" applyBorder="1" applyAlignment="1">
      <alignment horizontal="center"/>
    </xf>
    <xf numFmtId="0" fontId="14" fillId="0" borderId="0" xfId="0" applyFont="1" applyFill="1" applyBorder="1"/>
    <xf numFmtId="0" fontId="14" fillId="0" borderId="0" xfId="0" applyFont="1" applyFill="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14" fillId="0" borderId="0" xfId="0" applyFont="1" applyFill="1" applyBorder="1" applyAlignment="1">
      <alignment vertical="center" wrapText="1"/>
    </xf>
    <xf numFmtId="0" fontId="16" fillId="0" borderId="0" xfId="0" applyFont="1" applyFill="1" applyBorder="1" applyAlignment="1">
      <alignment wrapText="1"/>
    </xf>
    <xf numFmtId="0" fontId="16" fillId="13" borderId="0" xfId="0" applyFont="1" applyFill="1" applyBorder="1" applyAlignment="1">
      <alignment horizontal="center" vertical="top" wrapText="1"/>
    </xf>
    <xf numFmtId="0" fontId="16" fillId="13" borderId="0" xfId="0" applyFont="1" applyFill="1" applyBorder="1" applyAlignment="1">
      <alignment horizontal="left" vertical="top" wrapText="1"/>
    </xf>
    <xf numFmtId="0" fontId="16" fillId="0" borderId="0" xfId="0" applyFont="1" applyFill="1" applyBorder="1"/>
    <xf numFmtId="0" fontId="0" fillId="13" borderId="0" xfId="0" applyFill="1" applyBorder="1" applyAlignment="1">
      <alignment horizontal="center" vertical="top" wrapText="1"/>
    </xf>
    <xf numFmtId="0" fontId="0" fillId="13" borderId="0" xfId="0" applyFill="1" applyBorder="1" applyAlignment="1">
      <alignment horizontal="left" vertical="top" wrapText="1"/>
    </xf>
    <xf numFmtId="0" fontId="13" fillId="0" borderId="0" xfId="0" applyFont="1" applyFill="1" applyBorder="1"/>
    <xf numFmtId="0" fontId="17" fillId="0" borderId="0" xfId="0" applyFont="1" applyFill="1" applyBorder="1" applyAlignment="1">
      <alignment wrapText="1"/>
    </xf>
    <xf numFmtId="0" fontId="0" fillId="13" borderId="0" xfId="0" applyFill="1" applyBorder="1" applyAlignment="1">
      <alignment horizontal="left"/>
    </xf>
    <xf numFmtId="0" fontId="6" fillId="13" borderId="0" xfId="0" applyFont="1" applyFill="1" applyBorder="1" applyAlignment="1">
      <alignment horizontal="left" vertical="top"/>
    </xf>
    <xf numFmtId="0" fontId="6" fillId="13" borderId="0" xfId="0" applyFont="1" applyFill="1" applyBorder="1" applyAlignment="1">
      <alignment vertical="top"/>
    </xf>
    <xf numFmtId="0" fontId="0" fillId="13" borderId="0" xfId="0" applyFill="1" applyBorder="1" applyAlignment="1">
      <alignment vertical="top" wrapText="1"/>
    </xf>
    <xf numFmtId="0" fontId="0" fillId="13" borderId="0" xfId="0" applyFill="1" applyBorder="1" applyAlignment="1">
      <alignment horizontal="left" wrapText="1"/>
    </xf>
    <xf numFmtId="2" fontId="0" fillId="11" borderId="0" xfId="0" applyNumberFormat="1" applyFill="1" applyBorder="1" applyAlignment="1">
      <alignment wrapText="1"/>
    </xf>
    <xf numFmtId="0" fontId="0" fillId="13" borderId="0" xfId="0" applyFont="1" applyFill="1" applyBorder="1"/>
    <xf numFmtId="0" fontId="10" fillId="2" borderId="0" xfId="2" applyFont="1" applyFill="1" applyBorder="1"/>
    <xf numFmtId="0" fontId="14" fillId="2" borderId="0" xfId="0" applyFont="1" applyFill="1" applyBorder="1" applyAlignment="1">
      <alignment vertical="center" wrapText="1"/>
    </xf>
    <xf numFmtId="0" fontId="0" fillId="2" borderId="0" xfId="0" applyFill="1" applyBorder="1" applyAlignment="1">
      <alignment horizontal="center" vertical="center"/>
    </xf>
    <xf numFmtId="0" fontId="6" fillId="2" borderId="0" xfId="0" applyFont="1" applyFill="1" applyBorder="1" applyAlignment="1">
      <alignment vertical="top"/>
    </xf>
    <xf numFmtId="0" fontId="0" fillId="2" borderId="0" xfId="0" applyFill="1" applyBorder="1" applyAlignment="1">
      <alignment wrapText="1"/>
    </xf>
    <xf numFmtId="0" fontId="0" fillId="3" borderId="0" xfId="0" applyFill="1" applyBorder="1"/>
    <xf numFmtId="0" fontId="0" fillId="3" borderId="0" xfId="0" applyFill="1" applyBorder="1" applyAlignment="1">
      <alignment vertical="top"/>
    </xf>
    <xf numFmtId="0" fontId="10" fillId="3" borderId="0" xfId="2" applyFont="1" applyFill="1" applyBorder="1"/>
    <xf numFmtId="0" fontId="14" fillId="3" borderId="0" xfId="0" applyFont="1" applyFill="1" applyBorder="1" applyAlignment="1">
      <alignment vertical="center" wrapText="1"/>
    </xf>
    <xf numFmtId="0" fontId="0" fillId="3" borderId="0" xfId="0" applyFill="1" applyBorder="1" applyAlignment="1">
      <alignment horizontal="center" vertical="center"/>
    </xf>
    <xf numFmtId="0" fontId="6" fillId="3" borderId="0" xfId="0" applyFont="1" applyFill="1" applyBorder="1" applyAlignment="1">
      <alignment vertical="top"/>
    </xf>
    <xf numFmtId="0" fontId="6" fillId="3" borderId="0" xfId="0" applyFont="1" applyFill="1" applyBorder="1"/>
    <xf numFmtId="0" fontId="5" fillId="3" borderId="0" xfId="0" applyFont="1" applyFill="1" applyBorder="1" applyAlignment="1">
      <alignment wrapText="1"/>
    </xf>
    <xf numFmtId="0" fontId="14" fillId="4" borderId="0" xfId="0" applyFont="1" applyFill="1" applyBorder="1" applyAlignment="1">
      <alignment vertical="center" wrapText="1"/>
    </xf>
    <xf numFmtId="0" fontId="0" fillId="4" borderId="0" xfId="0" applyFill="1" applyBorder="1" applyAlignment="1">
      <alignment horizontal="center" vertical="center"/>
    </xf>
    <xf numFmtId="0" fontId="0" fillId="4" borderId="0" xfId="0" applyFill="1" applyBorder="1" applyAlignment="1">
      <alignment vertical="top"/>
    </xf>
    <xf numFmtId="0" fontId="0" fillId="4" borderId="0" xfId="0" applyFill="1" applyBorder="1"/>
    <xf numFmtId="0" fontId="6" fillId="4" borderId="0" xfId="0" applyFont="1" applyFill="1" applyBorder="1" applyAlignment="1">
      <alignment vertical="top"/>
    </xf>
    <xf numFmtId="0" fontId="6" fillId="4" borderId="0" xfId="0" applyFont="1" applyFill="1" applyBorder="1"/>
    <xf numFmtId="0" fontId="5" fillId="4" borderId="0" xfId="0" applyFont="1" applyFill="1" applyBorder="1" applyAlignment="1">
      <alignment wrapText="1"/>
    </xf>
    <xf numFmtId="0" fontId="14" fillId="5" borderId="0" xfId="0" applyFont="1" applyFill="1" applyBorder="1" applyAlignment="1">
      <alignment vertical="center" wrapText="1"/>
    </xf>
    <xf numFmtId="0" fontId="0" fillId="5" borderId="0" xfId="0" applyFill="1" applyBorder="1" applyAlignment="1">
      <alignment horizontal="center" vertical="center"/>
    </xf>
    <xf numFmtId="0" fontId="0" fillId="5" borderId="0" xfId="0" applyFill="1" applyBorder="1" applyAlignment="1">
      <alignment vertical="top"/>
    </xf>
    <xf numFmtId="0" fontId="6" fillId="5" borderId="0" xfId="0" applyFont="1" applyFill="1" applyBorder="1" applyAlignment="1">
      <alignment vertical="top"/>
    </xf>
    <xf numFmtId="0" fontId="0" fillId="5" borderId="0" xfId="0" applyFill="1" applyBorder="1" applyAlignment="1">
      <alignment wrapText="1"/>
    </xf>
    <xf numFmtId="0" fontId="5" fillId="5" borderId="0" xfId="0" applyFont="1" applyFill="1" applyBorder="1" applyAlignment="1">
      <alignment wrapText="1"/>
    </xf>
    <xf numFmtId="0" fontId="14" fillId="6" borderId="0" xfId="0" applyFont="1" applyFill="1" applyBorder="1" applyAlignment="1">
      <alignment vertical="center" wrapText="1"/>
    </xf>
    <xf numFmtId="0" fontId="0" fillId="6" borderId="0" xfId="0" applyFill="1" applyBorder="1" applyAlignment="1">
      <alignment horizontal="center" vertical="center"/>
    </xf>
    <xf numFmtId="0" fontId="0" fillId="6" borderId="0" xfId="0" applyFill="1" applyBorder="1" applyAlignment="1">
      <alignment vertical="top"/>
    </xf>
    <xf numFmtId="0" fontId="6" fillId="6" borderId="0" xfId="0" applyFont="1" applyFill="1" applyBorder="1" applyAlignment="1">
      <alignment vertical="top"/>
    </xf>
    <xf numFmtId="0" fontId="0" fillId="6" borderId="0" xfId="0" applyFill="1" applyBorder="1" applyAlignment="1">
      <alignment wrapText="1"/>
    </xf>
    <xf numFmtId="0" fontId="5" fillId="6" borderId="0" xfId="0" applyFont="1" applyFill="1" applyBorder="1" applyAlignment="1">
      <alignment wrapText="1"/>
    </xf>
    <xf numFmtId="2" fontId="0" fillId="14" borderId="0" xfId="0" applyNumberFormat="1" applyFill="1" applyBorder="1" applyAlignment="1">
      <alignment horizontal="left" vertical="top" wrapText="1"/>
    </xf>
    <xf numFmtId="2" fontId="0" fillId="14" borderId="0" xfId="0" applyNumberFormat="1" applyFill="1" applyBorder="1" applyAlignment="1">
      <alignment vertical="top"/>
    </xf>
    <xf numFmtId="2" fontId="0" fillId="14" borderId="0" xfId="0" applyNumberFormat="1" applyFill="1" applyBorder="1"/>
    <xf numFmtId="0" fontId="14" fillId="14" borderId="0" xfId="0" applyFont="1" applyFill="1" applyBorder="1" applyAlignment="1">
      <alignment vertical="center" wrapText="1"/>
    </xf>
    <xf numFmtId="0" fontId="0" fillId="14" borderId="0" xfId="0" applyFill="1" applyBorder="1" applyAlignment="1">
      <alignment horizontal="center" vertical="center"/>
    </xf>
    <xf numFmtId="0" fontId="0" fillId="14" borderId="0" xfId="0" applyFill="1" applyBorder="1" applyAlignment="1">
      <alignment vertical="top"/>
    </xf>
    <xf numFmtId="0" fontId="0" fillId="14" borderId="0" xfId="0" applyFill="1" applyBorder="1"/>
    <xf numFmtId="0" fontId="6" fillId="14" borderId="0" xfId="0" applyFont="1" applyFill="1" applyBorder="1" applyAlignment="1">
      <alignment vertical="top"/>
    </xf>
    <xf numFmtId="0" fontId="0" fillId="14" borderId="0" xfId="0" applyFill="1" applyBorder="1" applyAlignment="1">
      <alignment wrapText="1"/>
    </xf>
    <xf numFmtId="0" fontId="5" fillId="14" borderId="0" xfId="0" applyFont="1" applyFill="1" applyBorder="1" applyAlignment="1">
      <alignment wrapText="1"/>
    </xf>
    <xf numFmtId="1" fontId="0" fillId="11" borderId="0" xfId="0" applyNumberFormat="1" applyFill="1" applyBorder="1" applyAlignment="1">
      <alignment vertical="top" wrapText="1"/>
    </xf>
    <xf numFmtId="1" fontId="0" fillId="11" borderId="0" xfId="0" applyNumberFormat="1" applyFill="1" applyBorder="1"/>
    <xf numFmtId="0" fontId="0" fillId="11" borderId="0" xfId="0" applyFill="1" applyBorder="1"/>
    <xf numFmtId="2" fontId="0" fillId="5" borderId="3" xfId="0" applyNumberFormat="1" applyFill="1" applyBorder="1"/>
    <xf numFmtId="0" fontId="0" fillId="13" borderId="32" xfId="0" applyFont="1" applyFill="1" applyBorder="1" applyAlignment="1">
      <alignment horizontal="center"/>
    </xf>
    <xf numFmtId="0" fontId="0" fillId="0" borderId="11" xfId="0" applyFill="1" applyBorder="1" applyAlignment="1">
      <alignment horizontal="center" vertical="center"/>
    </xf>
    <xf numFmtId="0" fontId="2" fillId="0" borderId="11" xfId="0" applyFont="1" applyFill="1" applyBorder="1" applyAlignment="1">
      <alignment horizontal="center" vertical="center"/>
    </xf>
    <xf numFmtId="0" fontId="0" fillId="13" borderId="11" xfId="0" applyFill="1" applyBorder="1" applyAlignment="1"/>
    <xf numFmtId="0" fontId="4" fillId="13" borderId="11" xfId="0" applyFont="1" applyFill="1" applyBorder="1" applyAlignment="1">
      <alignment horizontal="center"/>
    </xf>
    <xf numFmtId="0" fontId="2" fillId="13" borderId="11" xfId="0" applyFont="1" applyFill="1" applyBorder="1" applyAlignment="1">
      <alignment horizontal="center"/>
    </xf>
    <xf numFmtId="0" fontId="1" fillId="13" borderId="11" xfId="0" quotePrefix="1" applyFont="1" applyFill="1" applyBorder="1"/>
    <xf numFmtId="0" fontId="1" fillId="13" borderId="11" xfId="0" applyFont="1" applyFill="1" applyBorder="1"/>
    <xf numFmtId="0" fontId="1" fillId="13" borderId="11" xfId="0" applyFont="1" applyFill="1" applyBorder="1" applyAlignment="1">
      <alignment horizontal="left" wrapText="1"/>
    </xf>
    <xf numFmtId="0" fontId="1" fillId="13" borderId="11" xfId="0" applyFont="1" applyFill="1" applyBorder="1" applyAlignment="1">
      <alignment horizontal="left"/>
    </xf>
    <xf numFmtId="0" fontId="0" fillId="13" borderId="11" xfId="0" applyFont="1" applyFill="1" applyBorder="1" applyAlignment="1">
      <alignment horizontal="center" vertical="top" wrapText="1"/>
    </xf>
    <xf numFmtId="0" fontId="1" fillId="13" borderId="11" xfId="0" quotePrefix="1" applyFont="1" applyFill="1" applyBorder="1" applyAlignment="1">
      <alignment horizontal="center"/>
    </xf>
    <xf numFmtId="3" fontId="1" fillId="13" borderId="11" xfId="0" quotePrefix="1" applyNumberFormat="1" applyFont="1" applyFill="1" applyBorder="1"/>
    <xf numFmtId="49" fontId="1" fillId="13" borderId="11" xfId="0" applyNumberFormat="1" applyFont="1" applyFill="1" applyBorder="1" applyAlignment="1">
      <alignment horizontal="center"/>
    </xf>
    <xf numFmtId="2" fontId="1" fillId="13" borderId="11" xfId="0" applyNumberFormat="1" applyFont="1" applyFill="1" applyBorder="1" applyAlignment="1">
      <alignment horizontal="center"/>
    </xf>
    <xf numFmtId="1" fontId="1" fillId="13" borderId="11" xfId="0" applyNumberFormat="1" applyFont="1" applyFill="1" applyBorder="1" applyAlignment="1">
      <alignment horizontal="center"/>
    </xf>
    <xf numFmtId="0" fontId="1" fillId="13" borderId="11" xfId="0" applyFont="1" applyFill="1" applyBorder="1" applyAlignment="1">
      <alignment horizontal="center"/>
    </xf>
    <xf numFmtId="0" fontId="1" fillId="13" borderId="11" xfId="0" applyFont="1" applyFill="1" applyBorder="1" applyAlignment="1">
      <alignment horizontal="center" wrapText="1"/>
    </xf>
    <xf numFmtId="0" fontId="16" fillId="13" borderId="11" xfId="0" applyFont="1" applyFill="1" applyBorder="1" applyAlignment="1">
      <alignment horizontal="left" vertical="top"/>
    </xf>
    <xf numFmtId="0" fontId="1" fillId="13" borderId="11" xfId="0" applyFont="1" applyFill="1" applyBorder="1" applyAlignment="1">
      <alignment horizontal="left" vertical="top"/>
    </xf>
    <xf numFmtId="0" fontId="1" fillId="13" borderId="11" xfId="0" applyFont="1" applyFill="1" applyBorder="1" applyAlignment="1">
      <alignment horizontal="left" vertical="top" wrapText="1"/>
    </xf>
    <xf numFmtId="0" fontId="18" fillId="13" borderId="11" xfId="0" applyFont="1" applyFill="1" applyBorder="1" applyAlignment="1">
      <alignment horizontal="center" vertical="top" wrapText="1"/>
    </xf>
    <xf numFmtId="2" fontId="0" fillId="5" borderId="0" xfId="0" applyNumberFormat="1" applyFill="1" applyBorder="1" applyAlignment="1">
      <alignment horizontal="center" vertical="center"/>
    </xf>
    <xf numFmtId="0" fontId="0" fillId="13" borderId="33" xfId="0" applyFill="1" applyBorder="1"/>
    <xf numFmtId="0" fontId="0" fillId="13" borderId="33" xfId="0" applyFill="1" applyBorder="1" applyAlignment="1">
      <alignment horizontal="center" vertical="center"/>
    </xf>
    <xf numFmtId="0" fontId="16" fillId="13" borderId="33" xfId="0" applyFont="1" applyFill="1" applyBorder="1" applyAlignment="1">
      <alignment wrapText="1"/>
    </xf>
    <xf numFmtId="0" fontId="13" fillId="13" borderId="33" xfId="0" applyFont="1" applyFill="1" applyBorder="1"/>
    <xf numFmtId="0" fontId="18" fillId="13" borderId="11" xfId="0" applyFont="1" applyFill="1" applyBorder="1" applyAlignment="1">
      <alignment horizontal="left" vertical="top" wrapText="1"/>
    </xf>
    <xf numFmtId="0" fontId="1" fillId="13" borderId="11" xfId="0" applyFont="1" applyFill="1" applyBorder="1" applyAlignment="1">
      <alignment horizontal="center" vertical="top" wrapText="1"/>
    </xf>
    <xf numFmtId="0" fontId="18" fillId="13" borderId="11" xfId="0" applyFont="1" applyFill="1" applyBorder="1" applyAlignment="1">
      <alignment horizontal="left" vertical="top"/>
    </xf>
    <xf numFmtId="0" fontId="0" fillId="13" borderId="11" xfId="0" applyFont="1" applyFill="1" applyBorder="1" applyAlignment="1">
      <alignment horizontal="left" vertical="top" wrapText="1"/>
    </xf>
    <xf numFmtId="0" fontId="0" fillId="13" borderId="16" xfId="0" applyFill="1" applyBorder="1" applyAlignment="1">
      <alignment horizontal="center"/>
    </xf>
    <xf numFmtId="0" fontId="0" fillId="13" borderId="16" xfId="0" applyFill="1" applyBorder="1" applyAlignment="1">
      <alignment horizontal="center" vertical="top"/>
    </xf>
    <xf numFmtId="0" fontId="1" fillId="13" borderId="11" xfId="0" applyFont="1" applyFill="1" applyBorder="1" applyAlignment="1">
      <alignment horizontal="center" vertical="top"/>
    </xf>
    <xf numFmtId="0" fontId="0" fillId="13" borderId="18" xfId="0" applyFont="1" applyFill="1" applyBorder="1" applyAlignment="1">
      <alignment horizontal="left"/>
    </xf>
    <xf numFmtId="0" fontId="2" fillId="13" borderId="29" xfId="0" applyFont="1" applyFill="1" applyBorder="1" applyAlignment="1">
      <alignment horizontal="center" vertical="top" wrapText="1"/>
    </xf>
    <xf numFmtId="0" fontId="0" fillId="13" borderId="16" xfId="0" applyFill="1" applyBorder="1" applyAlignment="1">
      <alignment horizontal="center" vertical="center"/>
    </xf>
    <xf numFmtId="0" fontId="0" fillId="13" borderId="11" xfId="0" applyFont="1" applyFill="1" applyBorder="1" applyAlignment="1">
      <alignment horizontal="center" vertical="top"/>
    </xf>
    <xf numFmtId="166" fontId="1" fillId="13" borderId="11" xfId="3" applyNumberFormat="1" applyFont="1" applyFill="1" applyBorder="1" applyAlignment="1">
      <alignment horizontal="right" vertical="top"/>
    </xf>
    <xf numFmtId="166" fontId="1" fillId="13" borderId="11" xfId="3" applyNumberFormat="1" applyFont="1" applyFill="1" applyBorder="1" applyAlignment="1">
      <alignment horizontal="right"/>
    </xf>
    <xf numFmtId="3" fontId="1" fillId="13" borderId="11" xfId="0" applyNumberFormat="1" applyFont="1" applyFill="1" applyBorder="1" applyAlignment="1">
      <alignment horizontal="center" vertical="top"/>
    </xf>
    <xf numFmtId="2" fontId="0" fillId="0" borderId="0" xfId="0" quotePrefix="1" applyNumberFormat="1"/>
    <xf numFmtId="2" fontId="2" fillId="0" borderId="3"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0" fontId="0" fillId="0" borderId="30" xfId="0" applyBorder="1"/>
    <xf numFmtId="0" fontId="0" fillId="17" borderId="0" xfId="0" applyFill="1"/>
    <xf numFmtId="2" fontId="0" fillId="0" borderId="3" xfId="0" applyNumberFormat="1" applyBorder="1"/>
    <xf numFmtId="0" fontId="0" fillId="18" borderId="0" xfId="0" applyFill="1"/>
    <xf numFmtId="0" fontId="0" fillId="18" borderId="0" xfId="0" applyFill="1" applyBorder="1"/>
    <xf numFmtId="164" fontId="0" fillId="4" borderId="0" xfId="0" applyNumberFormat="1" applyFill="1" applyBorder="1"/>
    <xf numFmtId="166" fontId="11" fillId="13" borderId="11" xfId="3" applyNumberFormat="1" applyFont="1" applyFill="1" applyBorder="1" applyAlignment="1">
      <alignment horizontal="right"/>
    </xf>
    <xf numFmtId="2" fontId="0" fillId="7" borderId="1" xfId="0" applyNumberFormat="1" applyFill="1" applyBorder="1"/>
    <xf numFmtId="2" fontId="0" fillId="6" borderId="1" xfId="0" applyNumberFormat="1" applyFill="1" applyBorder="1"/>
    <xf numFmtId="164" fontId="0" fillId="16" borderId="0" xfId="0" applyNumberFormat="1" applyFill="1"/>
    <xf numFmtId="164" fontId="2" fillId="16" borderId="0" xfId="0" applyNumberFormat="1" applyFont="1" applyFill="1" applyAlignment="1">
      <alignment wrapText="1"/>
    </xf>
    <xf numFmtId="2" fontId="0" fillId="19" borderId="6" xfId="0" applyNumberFormat="1" applyFill="1" applyBorder="1" applyAlignment="1">
      <alignment vertical="top" wrapText="1"/>
    </xf>
    <xf numFmtId="2" fontId="0" fillId="19" borderId="5" xfId="0" applyNumberFormat="1" applyFill="1" applyBorder="1" applyAlignment="1">
      <alignment vertical="top" wrapText="1"/>
    </xf>
    <xf numFmtId="0" fontId="0" fillId="19" borderId="8" xfId="0" applyFill="1" applyBorder="1"/>
    <xf numFmtId="0" fontId="0" fillId="19" borderId="0" xfId="0" applyFill="1" applyBorder="1"/>
    <xf numFmtId="0" fontId="1" fillId="19" borderId="8" xfId="0" applyFont="1" applyFill="1" applyBorder="1"/>
    <xf numFmtId="0" fontId="1" fillId="19" borderId="0" xfId="0" applyFont="1" applyFill="1" applyBorder="1"/>
    <xf numFmtId="165" fontId="0" fillId="19" borderId="8" xfId="0" applyNumberFormat="1" applyFill="1" applyBorder="1"/>
    <xf numFmtId="165" fontId="0" fillId="19" borderId="0" xfId="0" applyNumberFormat="1" applyFill="1" applyBorder="1"/>
    <xf numFmtId="2" fontId="0" fillId="19" borderId="8" xfId="0" applyNumberFormat="1" applyFill="1" applyBorder="1"/>
    <xf numFmtId="2" fontId="0" fillId="19" borderId="0" xfId="0" applyNumberFormat="1" applyFill="1" applyBorder="1"/>
    <xf numFmtId="2" fontId="1" fillId="19" borderId="8" xfId="0" applyNumberFormat="1" applyFont="1" applyFill="1" applyBorder="1"/>
    <xf numFmtId="2" fontId="1" fillId="19" borderId="0" xfId="0" applyNumberFormat="1" applyFont="1" applyFill="1" applyBorder="1"/>
    <xf numFmtId="0" fontId="0" fillId="13" borderId="33" xfId="0" applyFont="1" applyFill="1" applyBorder="1" applyAlignment="1">
      <alignment horizontal="left" vertical="top" wrapText="1"/>
    </xf>
    <xf numFmtId="0" fontId="1" fillId="13" borderId="33" xfId="0" applyFont="1" applyFill="1" applyBorder="1" applyAlignment="1">
      <alignment horizontal="center"/>
    </xf>
    <xf numFmtId="0" fontId="0" fillId="13" borderId="33" xfId="0" applyFill="1" applyBorder="1" applyAlignment="1">
      <alignment horizontal="center"/>
    </xf>
    <xf numFmtId="0" fontId="0" fillId="13" borderId="33" xfId="0" applyFill="1" applyBorder="1" applyAlignment="1">
      <alignment horizontal="center" vertical="top"/>
    </xf>
    <xf numFmtId="0" fontId="1" fillId="13" borderId="33" xfId="0" applyFont="1" applyFill="1" applyBorder="1" applyAlignment="1">
      <alignment horizontal="center" vertical="top"/>
    </xf>
    <xf numFmtId="0" fontId="18" fillId="13" borderId="33" xfId="0" applyFont="1" applyFill="1" applyBorder="1" applyAlignment="1">
      <alignment horizontal="center"/>
    </xf>
    <xf numFmtId="0" fontId="6" fillId="13" borderId="33" xfId="0" applyFont="1" applyFill="1" applyBorder="1" applyAlignment="1">
      <alignment vertical="top"/>
    </xf>
    <xf numFmtId="2" fontId="0" fillId="19" borderId="7" xfId="0" applyNumberFormat="1" applyFill="1" applyBorder="1" applyAlignment="1">
      <alignment vertical="top" wrapText="1"/>
    </xf>
    <xf numFmtId="0" fontId="0" fillId="13" borderId="13" xfId="0" applyFont="1" applyFill="1" applyBorder="1" applyAlignment="1">
      <alignment horizontal="left" vertical="top"/>
    </xf>
    <xf numFmtId="0" fontId="0" fillId="13" borderId="28" xfId="0" applyFont="1" applyFill="1" applyBorder="1" applyAlignment="1">
      <alignment horizontal="left" vertical="top"/>
    </xf>
    <xf numFmtId="0" fontId="1" fillId="13" borderId="28" xfId="0" applyFont="1" applyFill="1" applyBorder="1" applyAlignment="1">
      <alignment horizontal="left" vertical="top"/>
    </xf>
    <xf numFmtId="0" fontId="17" fillId="13" borderId="11" xfId="0" applyFont="1" applyFill="1" applyBorder="1" applyAlignment="1">
      <alignment wrapText="1"/>
    </xf>
    <xf numFmtId="0" fontId="0" fillId="0" borderId="6" xfId="0" applyFont="1" applyBorder="1" applyAlignment="1">
      <alignment vertical="top" wrapText="1"/>
    </xf>
    <xf numFmtId="0" fontId="0" fillId="0" borderId="5" xfId="0" applyFont="1" applyBorder="1" applyAlignment="1">
      <alignment vertical="top" wrapText="1"/>
    </xf>
    <xf numFmtId="2" fontId="0" fillId="13" borderId="11" xfId="0" applyNumberFormat="1" applyFont="1" applyFill="1" applyBorder="1" applyAlignment="1">
      <alignment horizontal="left" vertical="top" wrapText="1"/>
    </xf>
    <xf numFmtId="0" fontId="0" fillId="13" borderId="11" xfId="0" applyFont="1" applyFill="1" applyBorder="1" applyAlignment="1">
      <alignment vertical="top" wrapText="1"/>
    </xf>
    <xf numFmtId="0" fontId="0" fillId="13" borderId="16" xfId="0" applyFont="1" applyFill="1" applyBorder="1" applyAlignment="1">
      <alignment horizontal="center" vertical="top" wrapText="1"/>
    </xf>
    <xf numFmtId="0" fontId="0" fillId="0" borderId="5" xfId="0" applyFont="1" applyFill="1" applyBorder="1" applyAlignment="1">
      <alignment vertical="top" wrapText="1"/>
    </xf>
    <xf numFmtId="2" fontId="0" fillId="13" borderId="20" xfId="0" applyNumberFormat="1" applyFont="1" applyFill="1" applyBorder="1" applyAlignment="1">
      <alignment horizontal="left" vertical="top" wrapText="1"/>
    </xf>
    <xf numFmtId="0" fontId="0" fillId="3" borderId="3" xfId="0" applyFill="1" applyBorder="1" applyAlignment="1">
      <alignment vertical="top" wrapText="1"/>
    </xf>
    <xf numFmtId="2" fontId="0" fillId="4" borderId="3" xfId="0" applyNumberFormat="1" applyFill="1" applyBorder="1" applyAlignment="1">
      <alignment horizontal="left" vertical="top" wrapText="1"/>
    </xf>
    <xf numFmtId="0" fontId="0" fillId="13" borderId="46" xfId="0" applyFill="1" applyBorder="1"/>
    <xf numFmtId="0" fontId="0" fillId="13" borderId="46" xfId="0" applyFill="1" applyBorder="1" applyAlignment="1"/>
    <xf numFmtId="0" fontId="0" fillId="13" borderId="46" xfId="0" applyFill="1" applyBorder="1" applyAlignment="1">
      <alignment horizontal="left" vertical="center"/>
    </xf>
    <xf numFmtId="0" fontId="0" fillId="13" borderId="47" xfId="0" applyFill="1" applyBorder="1"/>
    <xf numFmtId="0" fontId="0" fillId="13" borderId="49" xfId="0" applyFill="1" applyBorder="1"/>
    <xf numFmtId="0" fontId="16" fillId="13" borderId="13" xfId="0" applyFont="1" applyFill="1" applyBorder="1"/>
    <xf numFmtId="0" fontId="0" fillId="13" borderId="13" xfId="0" applyFill="1" applyBorder="1" applyAlignment="1">
      <alignment horizontal="left" vertical="center" wrapText="1"/>
    </xf>
    <xf numFmtId="0" fontId="16" fillId="13" borderId="13" xfId="0" applyFont="1" applyFill="1" applyBorder="1" applyAlignment="1">
      <alignment horizontal="center" vertical="top" wrapText="1"/>
    </xf>
    <xf numFmtId="0" fontId="16" fillId="13" borderId="13" xfId="0" applyFont="1" applyFill="1" applyBorder="1" applyAlignment="1">
      <alignment horizontal="left" vertical="top" wrapText="1"/>
    </xf>
    <xf numFmtId="0" fontId="16" fillId="13" borderId="28" xfId="0" applyFont="1" applyFill="1" applyBorder="1" applyAlignment="1">
      <alignment horizontal="left" vertical="top" wrapText="1"/>
    </xf>
    <xf numFmtId="0" fontId="18" fillId="13" borderId="13" xfId="0" applyFont="1" applyFill="1" applyBorder="1" applyAlignment="1">
      <alignment horizontal="left" vertical="top" wrapText="1"/>
    </xf>
    <xf numFmtId="0" fontId="0" fillId="13" borderId="41" xfId="0" applyFont="1" applyFill="1" applyBorder="1" applyAlignment="1">
      <alignment horizontal="center" vertical="top" wrapText="1"/>
    </xf>
    <xf numFmtId="0" fontId="1" fillId="0" borderId="6" xfId="0" applyFont="1" applyBorder="1" applyAlignment="1">
      <alignment wrapText="1"/>
    </xf>
    <xf numFmtId="0" fontId="1" fillId="0" borderId="5" xfId="0" applyFont="1" applyBorder="1" applyAlignment="1">
      <alignment wrapText="1"/>
    </xf>
    <xf numFmtId="0" fontId="1" fillId="0" borderId="7" xfId="0" applyFont="1" applyBorder="1" applyAlignment="1">
      <alignment wrapText="1"/>
    </xf>
    <xf numFmtId="1" fontId="2" fillId="6" borderId="5" xfId="0" applyNumberFormat="1" applyFont="1" applyFill="1" applyBorder="1" applyAlignment="1">
      <alignment vertical="top" wrapText="1"/>
    </xf>
    <xf numFmtId="165" fontId="0" fillId="0" borderId="0" xfId="0" applyNumberFormat="1" applyFill="1" applyBorder="1"/>
    <xf numFmtId="165" fontId="0" fillId="0" borderId="9" xfId="0" applyNumberFormat="1" applyFill="1" applyBorder="1"/>
    <xf numFmtId="165" fontId="0" fillId="0" borderId="0" xfId="0" applyNumberFormat="1" applyFill="1"/>
    <xf numFmtId="165" fontId="0" fillId="0" borderId="8" xfId="0" applyNumberFormat="1" applyFill="1" applyBorder="1"/>
    <xf numFmtId="0" fontId="1" fillId="0" borderId="0" xfId="0" applyFont="1" applyFill="1" applyBorder="1"/>
    <xf numFmtId="165" fontId="0" fillId="19" borderId="9" xfId="0" applyNumberFormat="1" applyFill="1" applyBorder="1"/>
    <xf numFmtId="0" fontId="1" fillId="19" borderId="9" xfId="0" applyFont="1" applyFill="1" applyBorder="1"/>
    <xf numFmtId="0" fontId="0" fillId="19" borderId="9" xfId="0" applyFill="1" applyBorder="1"/>
    <xf numFmtId="0" fontId="2" fillId="13" borderId="46" xfId="0" applyFont="1" applyFill="1" applyBorder="1" applyAlignment="1">
      <alignment horizontal="center" vertical="top"/>
    </xf>
    <xf numFmtId="0" fontId="0" fillId="13" borderId="13" xfId="0" quotePrefix="1" applyFill="1" applyBorder="1"/>
    <xf numFmtId="0" fontId="1" fillId="13" borderId="13" xfId="0" quotePrefix="1" applyFont="1" applyFill="1" applyBorder="1"/>
    <xf numFmtId="0" fontId="0" fillId="0" borderId="13" xfId="0" applyFill="1" applyBorder="1" applyAlignment="1">
      <alignment horizontal="center" vertical="center"/>
    </xf>
    <xf numFmtId="0" fontId="0" fillId="0" borderId="51" xfId="0" applyFill="1" applyBorder="1" applyAlignment="1">
      <alignment horizontal="center" vertical="top" wrapText="1"/>
    </xf>
    <xf numFmtId="0" fontId="5" fillId="0" borderId="0" xfId="0" applyFont="1" applyFill="1" applyBorder="1"/>
    <xf numFmtId="0" fontId="0" fillId="0" borderId="0" xfId="0" quotePrefix="1" applyFont="1"/>
    <xf numFmtId="0" fontId="0" fillId="0" borderId="0" xfId="0" applyFont="1" applyBorder="1"/>
    <xf numFmtId="0" fontId="5" fillId="0" borderId="0" xfId="0" applyFont="1" applyFill="1"/>
    <xf numFmtId="0" fontId="5" fillId="0" borderId="8" xfId="0" applyFont="1" applyFill="1" applyBorder="1"/>
    <xf numFmtId="0" fontId="5" fillId="0" borderId="9" xfId="0" applyFont="1" applyFill="1" applyBorder="1"/>
    <xf numFmtId="2" fontId="0" fillId="0" borderId="8" xfId="0" applyNumberFormat="1" applyFill="1" applyBorder="1" applyAlignment="1">
      <alignment horizontal="center" vertical="center"/>
    </xf>
    <xf numFmtId="2" fontId="0" fillId="0" borderId="0" xfId="0" applyNumberFormat="1" applyFill="1" applyAlignment="1">
      <alignment horizontal="center" vertical="center"/>
    </xf>
    <xf numFmtId="0" fontId="0" fillId="0" borderId="4" xfId="0" applyFont="1" applyBorder="1"/>
    <xf numFmtId="0" fontId="0" fillId="0" borderId="9" xfId="0" applyFont="1" applyBorder="1"/>
    <xf numFmtId="0" fontId="0" fillId="0" borderId="9" xfId="0" applyFont="1" applyFill="1" applyBorder="1"/>
    <xf numFmtId="0" fontId="0" fillId="0" borderId="2" xfId="0" applyBorder="1" applyAlignment="1">
      <alignment vertical="top" wrapText="1"/>
    </xf>
    <xf numFmtId="2" fontId="0" fillId="13" borderId="52" xfId="0" applyNumberFormat="1" applyFill="1" applyBorder="1" applyAlignment="1">
      <alignment horizontal="left" vertical="top" wrapText="1"/>
    </xf>
    <xf numFmtId="2" fontId="0" fillId="13" borderId="46" xfId="0" applyNumberFormat="1" applyFill="1" applyBorder="1" applyAlignment="1">
      <alignment horizontal="left" vertical="top" wrapText="1"/>
    </xf>
    <xf numFmtId="0" fontId="2" fillId="13" borderId="46" xfId="0" applyFont="1" applyFill="1" applyBorder="1" applyAlignment="1">
      <alignment horizontal="left" vertical="top" wrapText="1"/>
    </xf>
    <xf numFmtId="2" fontId="0" fillId="13" borderId="46" xfId="0" applyNumberFormat="1" applyFill="1" applyBorder="1" applyAlignment="1">
      <alignment horizontal="center" vertical="top" wrapText="1"/>
    </xf>
    <xf numFmtId="0" fontId="0" fillId="13" borderId="53" xfId="0" applyFill="1" applyBorder="1" applyAlignment="1">
      <alignment horizontal="center" vertical="top" wrapText="1"/>
    </xf>
    <xf numFmtId="0" fontId="0" fillId="2" borderId="3" xfId="0" applyFill="1" applyBorder="1" applyAlignment="1">
      <alignment vertical="top" wrapText="1"/>
    </xf>
    <xf numFmtId="2" fontId="0" fillId="5" borderId="3" xfId="0" applyNumberFormat="1" applyFill="1" applyBorder="1" applyAlignment="1">
      <alignment horizontal="left" vertical="top" wrapText="1"/>
    </xf>
    <xf numFmtId="2" fontId="0" fillId="10" borderId="2" xfId="0" applyNumberFormat="1" applyFill="1" applyBorder="1" applyAlignment="1">
      <alignment vertical="top" wrapText="1"/>
    </xf>
    <xf numFmtId="2" fontId="0" fillId="10" borderId="3" xfId="0" applyNumberFormat="1" applyFill="1" applyBorder="1" applyAlignment="1">
      <alignment vertical="top" wrapText="1"/>
    </xf>
    <xf numFmtId="1" fontId="0" fillId="11" borderId="4" xfId="0" applyNumberFormat="1" applyFill="1" applyBorder="1" applyAlignment="1">
      <alignment vertical="top" wrapText="1"/>
    </xf>
    <xf numFmtId="2" fontId="0" fillId="6" borderId="2" xfId="0" applyNumberFormat="1" applyFill="1" applyBorder="1" applyAlignment="1">
      <alignment vertical="top" wrapText="1"/>
    </xf>
    <xf numFmtId="2" fontId="0" fillId="6" borderId="3" xfId="0" applyNumberFormat="1" applyFill="1" applyBorder="1" applyAlignment="1">
      <alignment vertical="top" wrapText="1"/>
    </xf>
    <xf numFmtId="2" fontId="0" fillId="5" borderId="3" xfId="0" applyNumberFormat="1" applyFill="1" applyBorder="1" applyAlignment="1">
      <alignment vertical="top" wrapText="1"/>
    </xf>
    <xf numFmtId="0" fontId="0" fillId="0" borderId="4" xfId="0" applyFont="1" applyBorder="1" applyAlignment="1">
      <alignment vertical="top" wrapText="1"/>
    </xf>
    <xf numFmtId="2" fontId="0" fillId="7" borderId="3" xfId="0" applyNumberFormat="1" applyFill="1" applyBorder="1" applyAlignment="1">
      <alignment vertical="top" wrapText="1"/>
    </xf>
    <xf numFmtId="2" fontId="0" fillId="11" borderId="3" xfId="0" applyNumberFormat="1" applyFill="1" applyBorder="1" applyAlignment="1">
      <alignment vertical="top" wrapText="1"/>
    </xf>
    <xf numFmtId="1" fontId="0" fillId="10" borderId="4" xfId="0" applyNumberFormat="1" applyFill="1" applyBorder="1" applyAlignment="1">
      <alignment vertical="top" wrapText="1"/>
    </xf>
    <xf numFmtId="2" fontId="0" fillId="7" borderId="2" xfId="0" applyNumberFormat="1" applyFill="1" applyBorder="1" applyAlignment="1">
      <alignment horizontal="left" vertical="top" wrapText="1"/>
    </xf>
    <xf numFmtId="2" fontId="0" fillId="2" borderId="3" xfId="0" applyNumberFormat="1" applyFill="1" applyBorder="1" applyAlignment="1">
      <alignment vertical="top" wrapText="1"/>
    </xf>
    <xf numFmtId="2" fontId="0" fillId="12" borderId="4" xfId="0" applyNumberFormat="1" applyFill="1" applyBorder="1" applyAlignment="1">
      <alignment vertical="top" wrapText="1"/>
    </xf>
    <xf numFmtId="0" fontId="5" fillId="13" borderId="24" xfId="0" applyFont="1" applyFill="1" applyBorder="1"/>
    <xf numFmtId="0" fontId="5" fillId="13" borderId="13" xfId="0" applyFont="1" applyFill="1" applyBorder="1"/>
    <xf numFmtId="0" fontId="5" fillId="13" borderId="13" xfId="0" applyFont="1" applyFill="1" applyBorder="1" applyAlignment="1">
      <alignment horizontal="center"/>
    </xf>
    <xf numFmtId="0" fontId="5" fillId="13" borderId="25" xfId="0" applyFont="1" applyFill="1" applyBorder="1"/>
    <xf numFmtId="0" fontId="0" fillId="0" borderId="3" xfId="0" applyFont="1" applyBorder="1"/>
    <xf numFmtId="0" fontId="0" fillId="13" borderId="18" xfId="0" applyFill="1" applyBorder="1" applyAlignment="1">
      <alignment horizontal="center" vertical="center"/>
    </xf>
    <xf numFmtId="0" fontId="0" fillId="0" borderId="3" xfId="0" applyFill="1" applyBorder="1" applyAlignment="1">
      <alignment wrapText="1"/>
    </xf>
    <xf numFmtId="2" fontId="0" fillId="10" borderId="2" xfId="0" applyNumberFormat="1" applyFill="1" applyBorder="1" applyAlignment="1">
      <alignment wrapText="1"/>
    </xf>
    <xf numFmtId="2" fontId="0" fillId="10" borderId="3" xfId="0" applyNumberFormat="1" applyFill="1" applyBorder="1" applyAlignment="1">
      <alignment wrapText="1"/>
    </xf>
    <xf numFmtId="2" fontId="0" fillId="11" borderId="4" xfId="0" applyNumberFormat="1" applyFill="1" applyBorder="1" applyAlignment="1">
      <alignment wrapText="1"/>
    </xf>
    <xf numFmtId="2" fontId="0" fillId="5" borderId="2" xfId="0" applyNumberFormat="1" applyFill="1" applyBorder="1"/>
    <xf numFmtId="2" fontId="0" fillId="7" borderId="3" xfId="0" applyNumberFormat="1" applyFill="1" applyBorder="1"/>
    <xf numFmtId="2" fontId="0" fillId="10" borderId="4" xfId="0" applyNumberFormat="1" applyFill="1" applyBorder="1"/>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0" fontId="0" fillId="7" borderId="3" xfId="0" applyFill="1" applyBorder="1"/>
    <xf numFmtId="2" fontId="0" fillId="0" borderId="0" xfId="0" applyNumberFormat="1" applyBorder="1" applyAlignment="1">
      <alignment horizontal="center" vertical="center"/>
    </xf>
    <xf numFmtId="0" fontId="0" fillId="0" borderId="1" xfId="0" applyFont="1" applyBorder="1"/>
    <xf numFmtId="0" fontId="0" fillId="13" borderId="54" xfId="0" applyFill="1" applyBorder="1"/>
    <xf numFmtId="0" fontId="0" fillId="13" borderId="55" xfId="0" applyFill="1" applyBorder="1"/>
    <xf numFmtId="0" fontId="0" fillId="13" borderId="56" xfId="0" applyFill="1" applyBorder="1"/>
    <xf numFmtId="0" fontId="0" fillId="0" borderId="1" xfId="0" applyFill="1" applyBorder="1" applyAlignment="1">
      <alignment wrapText="1"/>
    </xf>
    <xf numFmtId="2" fontId="0" fillId="10" borderId="30" xfId="0" applyNumberFormat="1" applyFill="1" applyBorder="1" applyAlignment="1">
      <alignment wrapText="1"/>
    </xf>
    <xf numFmtId="2" fontId="0" fillId="10" borderId="1" xfId="0" applyNumberFormat="1" applyFill="1" applyBorder="1" applyAlignment="1">
      <alignment wrapText="1"/>
    </xf>
    <xf numFmtId="2" fontId="0" fillId="11" borderId="10" xfId="0" applyNumberFormat="1" applyFill="1" applyBorder="1" applyAlignment="1">
      <alignment wrapText="1"/>
    </xf>
    <xf numFmtId="2" fontId="0" fillId="5" borderId="30" xfId="0" applyNumberFormat="1" applyFill="1" applyBorder="1"/>
    <xf numFmtId="0" fontId="0" fillId="0" borderId="10" xfId="0" applyFont="1" applyBorder="1"/>
    <xf numFmtId="2" fontId="0" fillId="0" borderId="30" xfId="0" applyNumberFormat="1" applyBorder="1" applyAlignment="1">
      <alignment horizontal="center" vertical="center"/>
    </xf>
    <xf numFmtId="2" fontId="0" fillId="0" borderId="1" xfId="0" applyNumberFormat="1" applyBorder="1" applyAlignment="1">
      <alignment horizontal="center" vertical="center"/>
    </xf>
    <xf numFmtId="0" fontId="0" fillId="0" borderId="10" xfId="0" applyBorder="1"/>
    <xf numFmtId="0" fontId="11" fillId="0" borderId="0" xfId="0" applyFont="1" applyFill="1" applyBorder="1" applyAlignment="1">
      <alignment vertical="top" wrapText="1"/>
    </xf>
    <xf numFmtId="0" fontId="20" fillId="0" borderId="0" xfId="0" applyFont="1" applyAlignment="1">
      <alignment vertical="top"/>
    </xf>
    <xf numFmtId="0" fontId="0" fillId="13" borderId="17" xfId="0" applyFill="1" applyBorder="1" applyAlignment="1">
      <alignment wrapText="1"/>
    </xf>
    <xf numFmtId="0" fontId="0" fillId="13" borderId="18" xfId="0" applyFill="1" applyBorder="1" applyAlignment="1">
      <alignment wrapText="1"/>
    </xf>
    <xf numFmtId="0" fontId="2" fillId="13" borderId="18" xfId="0" applyFont="1" applyFill="1" applyBorder="1" applyAlignment="1">
      <alignment horizontal="left" vertical="center" wrapText="1"/>
    </xf>
    <xf numFmtId="0" fontId="0" fillId="13" borderId="55" xfId="0" applyFill="1" applyBorder="1" applyAlignment="1">
      <alignment horizontal="center" vertical="center"/>
    </xf>
    <xf numFmtId="0" fontId="0" fillId="0" borderId="1" xfId="0" applyFill="1" applyBorder="1"/>
    <xf numFmtId="0" fontId="1" fillId="13" borderId="0" xfId="0" applyFont="1" applyFill="1" applyBorder="1" applyAlignment="1">
      <alignment horizontal="center"/>
    </xf>
    <xf numFmtId="0" fontId="1" fillId="13" borderId="13" xfId="0" quotePrefix="1" applyFont="1" applyFill="1" applyBorder="1" applyAlignment="1">
      <alignment horizontal="left"/>
    </xf>
    <xf numFmtId="2" fontId="0" fillId="2" borderId="9" xfId="0" applyNumberFormat="1" applyFill="1" applyBorder="1"/>
    <xf numFmtId="1" fontId="0" fillId="10" borderId="0" xfId="0" applyNumberFormat="1" applyFill="1" applyBorder="1"/>
    <xf numFmtId="2" fontId="0" fillId="13" borderId="0" xfId="0" applyNumberFormat="1" applyFill="1"/>
    <xf numFmtId="1" fontId="0" fillId="0" borderId="9" xfId="0" applyNumberFormat="1" applyFill="1" applyBorder="1"/>
    <xf numFmtId="1" fontId="0" fillId="0" borderId="0" xfId="0" applyNumberFormat="1" applyFill="1" applyBorder="1"/>
    <xf numFmtId="2" fontId="0" fillId="4" borderId="0" xfId="0" applyNumberFormat="1" applyFill="1"/>
    <xf numFmtId="2" fontId="0" fillId="4" borderId="9" xfId="0" applyNumberFormat="1" applyFill="1" applyBorder="1"/>
    <xf numFmtId="0" fontId="16" fillId="13" borderId="13" xfId="0" applyFont="1" applyFill="1" applyBorder="1" applyAlignment="1">
      <alignment wrapText="1"/>
    </xf>
    <xf numFmtId="0" fontId="16" fillId="13" borderId="50" xfId="0" applyFont="1" applyFill="1" applyBorder="1" applyAlignment="1">
      <alignment wrapText="1"/>
    </xf>
    <xf numFmtId="0" fontId="16" fillId="13" borderId="33" xfId="0" applyFont="1" applyFill="1" applyBorder="1"/>
    <xf numFmtId="3" fontId="1" fillId="13" borderId="11" xfId="0" applyNumberFormat="1" applyFont="1" applyFill="1" applyBorder="1"/>
    <xf numFmtId="166" fontId="1" fillId="13" borderId="0" xfId="3" applyNumberFormat="1" applyFont="1" applyFill="1" applyBorder="1" applyAlignment="1">
      <alignment horizontal="right" vertical="top"/>
    </xf>
    <xf numFmtId="0" fontId="0" fillId="0" borderId="11" xfId="0" applyFill="1" applyBorder="1"/>
    <xf numFmtId="0" fontId="6" fillId="0" borderId="11" xfId="0" applyFont="1" applyFill="1" applyBorder="1" applyAlignment="1">
      <alignment horizontal="left" vertical="center"/>
    </xf>
    <xf numFmtId="0" fontId="0" fillId="0" borderId="11" xfId="0" applyFill="1" applyBorder="1" applyAlignment="1">
      <alignment horizontal="left"/>
    </xf>
    <xf numFmtId="0" fontId="0" fillId="0" borderId="11" xfId="0" applyFill="1" applyBorder="1" applyAlignment="1">
      <alignment horizontal="center"/>
    </xf>
    <xf numFmtId="0" fontId="0" fillId="0" borderId="33" xfId="0" applyFill="1" applyBorder="1" applyAlignment="1">
      <alignment horizontal="center"/>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top" wrapText="1"/>
    </xf>
    <xf numFmtId="0" fontId="0" fillId="0" borderId="8" xfId="0" applyFill="1" applyBorder="1" applyAlignment="1">
      <alignment horizontal="left"/>
    </xf>
    <xf numFmtId="0" fontId="0" fillId="0" borderId="0" xfId="0" applyBorder="1" applyAlignment="1">
      <alignment wrapText="1"/>
    </xf>
    <xf numFmtId="0" fontId="0" fillId="0" borderId="0" xfId="0" quotePrefix="1" applyBorder="1" applyAlignment="1">
      <alignment wrapText="1"/>
    </xf>
    <xf numFmtId="0" fontId="0" fillId="13" borderId="0" xfId="0" applyFill="1" applyBorder="1" applyAlignment="1">
      <alignment wrapText="1"/>
    </xf>
    <xf numFmtId="0" fontId="0" fillId="13" borderId="0" xfId="0" quotePrefix="1" applyFill="1" applyBorder="1" applyAlignment="1">
      <alignment wrapText="1"/>
    </xf>
    <xf numFmtId="0" fontId="0" fillId="2" borderId="0" xfId="0" quotePrefix="1" applyFill="1" applyBorder="1" applyAlignment="1">
      <alignment wrapText="1"/>
    </xf>
    <xf numFmtId="0" fontId="0" fillId="3" borderId="0" xfId="0" quotePrefix="1" applyFill="1" applyBorder="1" applyAlignment="1">
      <alignment wrapText="1"/>
    </xf>
    <xf numFmtId="0" fontId="0" fillId="4" borderId="0" xfId="0" quotePrefix="1" applyFill="1" applyBorder="1" applyAlignment="1">
      <alignment wrapText="1"/>
    </xf>
    <xf numFmtId="0" fontId="0" fillId="5" borderId="0" xfId="0" quotePrefix="1" applyFill="1" applyBorder="1" applyAlignment="1">
      <alignment wrapText="1"/>
    </xf>
    <xf numFmtId="0" fontId="0" fillId="6" borderId="0" xfId="0" quotePrefix="1" applyFill="1" applyBorder="1" applyAlignment="1">
      <alignment wrapText="1"/>
    </xf>
    <xf numFmtId="0" fontId="0" fillId="14" borderId="0" xfId="0" quotePrefix="1" applyFill="1" applyBorder="1" applyAlignment="1">
      <alignment wrapText="1"/>
    </xf>
    <xf numFmtId="2" fontId="0" fillId="11" borderId="0" xfId="0" applyNumberFormat="1" applyFill="1" applyBorder="1" applyAlignment="1">
      <alignment horizontal="center" wrapText="1"/>
    </xf>
    <xf numFmtId="2" fontId="0" fillId="2" borderId="0" xfId="0" quotePrefix="1" applyNumberFormat="1" applyFill="1" applyBorder="1" applyAlignment="1">
      <alignment wrapText="1"/>
    </xf>
    <xf numFmtId="2" fontId="0" fillId="3" borderId="0" xfId="0" quotePrefix="1" applyNumberFormat="1" applyFill="1" applyBorder="1" applyAlignment="1">
      <alignment wrapText="1"/>
    </xf>
    <xf numFmtId="2" fontId="0" fillId="4" borderId="0" xfId="0" quotePrefix="1" applyNumberFormat="1" applyFill="1" applyBorder="1" applyAlignment="1">
      <alignment wrapText="1"/>
    </xf>
    <xf numFmtId="2" fontId="0" fillId="5" borderId="0" xfId="0" quotePrefix="1" applyNumberFormat="1" applyFill="1" applyBorder="1" applyAlignment="1">
      <alignment wrapText="1"/>
    </xf>
    <xf numFmtId="2" fontId="0" fillId="6" borderId="0" xfId="0" quotePrefix="1" applyNumberFormat="1" applyFill="1" applyBorder="1" applyAlignment="1">
      <alignment wrapText="1"/>
    </xf>
    <xf numFmtId="2" fontId="0" fillId="14" borderId="0" xfId="0" quotePrefix="1" applyNumberFormat="1" applyFill="1" applyBorder="1" applyAlignment="1">
      <alignment wrapText="1"/>
    </xf>
    <xf numFmtId="0" fontId="0" fillId="0" borderId="0" xfId="1" applyFont="1" applyBorder="1" applyAlignment="1">
      <alignment wrapText="1"/>
    </xf>
    <xf numFmtId="2" fontId="0" fillId="0" borderId="0" xfId="0" applyNumberFormat="1" applyFill="1" applyAlignment="1">
      <alignment wrapText="1"/>
    </xf>
    <xf numFmtId="0" fontId="0" fillId="0" borderId="32" xfId="0" applyFill="1" applyBorder="1"/>
    <xf numFmtId="0" fontId="0" fillId="0" borderId="34" xfId="0" applyFill="1" applyBorder="1"/>
    <xf numFmtId="0" fontId="0" fillId="0" borderId="2" xfId="0" applyFill="1" applyBorder="1" applyAlignment="1">
      <alignment vertical="center"/>
    </xf>
    <xf numFmtId="0" fontId="0" fillId="0" borderId="31" xfId="0" applyFill="1" applyBorder="1"/>
    <xf numFmtId="0" fontId="0" fillId="0" borderId="35" xfId="0" applyFill="1" applyBorder="1"/>
    <xf numFmtId="0" fontId="0" fillId="0" borderId="8" xfId="0" applyFill="1" applyBorder="1" applyAlignment="1">
      <alignment vertical="center"/>
    </xf>
    <xf numFmtId="0" fontId="0" fillId="0" borderId="30" xfId="0" applyFill="1" applyBorder="1" applyAlignment="1">
      <alignment vertical="center"/>
    </xf>
    <xf numFmtId="0" fontId="0" fillId="0" borderId="36" xfId="0" applyFill="1" applyBorder="1"/>
    <xf numFmtId="0" fontId="0" fillId="0" borderId="37" xfId="0" applyFill="1" applyBorder="1"/>
    <xf numFmtId="0" fontId="0" fillId="0" borderId="0" xfId="0" applyFill="1" applyBorder="1" applyAlignment="1">
      <alignment vertical="center"/>
    </xf>
    <xf numFmtId="0" fontId="0" fillId="0" borderId="30" xfId="0" applyFill="1" applyBorder="1"/>
    <xf numFmtId="0" fontId="0" fillId="0" borderId="38" xfId="0" applyFill="1" applyBorder="1"/>
    <xf numFmtId="0" fontId="0" fillId="0" borderId="39" xfId="0" applyFill="1" applyBorder="1"/>
    <xf numFmtId="0" fontId="0" fillId="0" borderId="40" xfId="0" applyFill="1" applyBorder="1"/>
    <xf numFmtId="0" fontId="0" fillId="0" borderId="39" xfId="0" applyFill="1" applyBorder="1" applyAlignment="1">
      <alignment vertical="center"/>
    </xf>
    <xf numFmtId="166" fontId="0" fillId="0" borderId="0" xfId="3" applyNumberFormat="1" applyFont="1" applyFill="1" applyBorder="1" applyAlignment="1">
      <alignment vertical="top" wrapText="1"/>
    </xf>
    <xf numFmtId="166" fontId="0" fillId="0" borderId="0" xfId="3" applyNumberFormat="1" applyFont="1" applyFill="1" applyBorder="1"/>
    <xf numFmtId="166" fontId="2" fillId="0" borderId="0" xfId="3" applyNumberFormat="1" applyFont="1" applyFill="1" applyBorder="1" applyAlignment="1">
      <alignment horizontal="center" vertical="center" wrapText="1"/>
    </xf>
    <xf numFmtId="0" fontId="0" fillId="0" borderId="0" xfId="0" quotePrefix="1" applyFill="1" applyBorder="1" applyAlignment="1">
      <alignment wrapText="1"/>
    </xf>
    <xf numFmtId="2" fontId="0" fillId="10" borderId="0" xfId="0" applyNumberFormat="1" applyFont="1" applyFill="1" applyBorder="1" applyAlignment="1">
      <alignment vertical="top" wrapText="1"/>
    </xf>
    <xf numFmtId="2" fontId="0" fillId="10" borderId="0" xfId="0" applyNumberFormat="1" applyFont="1" applyFill="1" applyBorder="1"/>
    <xf numFmtId="2" fontId="0" fillId="10" borderId="0" xfId="0" applyNumberFormat="1" applyFont="1" applyFill="1" applyBorder="1" applyAlignment="1">
      <alignment wrapText="1"/>
    </xf>
    <xf numFmtId="2" fontId="0" fillId="10" borderId="0" xfId="0" applyNumberFormat="1" applyFont="1" applyFill="1" applyBorder="1" applyAlignment="1">
      <alignment horizontal="center" wrapText="1"/>
    </xf>
    <xf numFmtId="0" fontId="0" fillId="10" borderId="0" xfId="0" applyFont="1" applyFill="1" applyBorder="1" applyAlignment="1">
      <alignment wrapText="1"/>
    </xf>
    <xf numFmtId="2" fontId="0" fillId="10" borderId="0" xfId="0" applyNumberFormat="1" applyFont="1" applyFill="1" applyBorder="1" applyAlignment="1">
      <alignment horizontal="center" vertical="center"/>
    </xf>
    <xf numFmtId="0" fontId="0" fillId="10" borderId="0" xfId="0" applyFont="1" applyFill="1" applyBorder="1"/>
    <xf numFmtId="166" fontId="0" fillId="0" borderId="0" xfId="3" applyNumberFormat="1" applyFont="1" applyFill="1" applyBorder="1" applyAlignment="1">
      <alignment wrapText="1"/>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center" vertical="center"/>
    </xf>
    <xf numFmtId="0" fontId="20" fillId="0" borderId="0" xfId="0" applyFont="1"/>
    <xf numFmtId="0" fontId="20" fillId="0" borderId="0" xfId="4" applyFont="1" applyBorder="1" applyAlignment="1">
      <alignment vertical="center"/>
    </xf>
    <xf numFmtId="0" fontId="20" fillId="0" borderId="0" xfId="4" applyFont="1" applyFill="1" applyBorder="1" applyAlignment="1">
      <alignment vertical="center"/>
    </xf>
    <xf numFmtId="0" fontId="20" fillId="0" borderId="0" xfId="0" applyFont="1" applyAlignment="1">
      <alignment wrapText="1"/>
    </xf>
    <xf numFmtId="0" fontId="20" fillId="0" borderId="0" xfId="4" applyFont="1" applyBorder="1"/>
    <xf numFmtId="0" fontId="20" fillId="0" borderId="0" xfId="4" applyFont="1" applyBorder="1" applyAlignment="1">
      <alignment vertical="center" wrapText="1"/>
    </xf>
    <xf numFmtId="0" fontId="0" fillId="13" borderId="15" xfId="0" applyFont="1" applyFill="1" applyBorder="1" applyAlignment="1">
      <alignment horizontal="center" wrapText="1"/>
    </xf>
    <xf numFmtId="0" fontId="0" fillId="13" borderId="5" xfId="0" applyFont="1" applyFill="1" applyBorder="1" applyAlignment="1">
      <alignment horizontal="center" wrapText="1"/>
    </xf>
    <xf numFmtId="0" fontId="0" fillId="13" borderId="41" xfId="0" applyFont="1" applyFill="1" applyBorder="1" applyAlignment="1">
      <alignment horizontal="center" wrapText="1"/>
    </xf>
    <xf numFmtId="2" fontId="2" fillId="0" borderId="6" xfId="0" applyNumberFormat="1" applyFont="1" applyBorder="1" applyAlignment="1">
      <alignment horizontal="center" vertical="top"/>
    </xf>
    <xf numFmtId="2" fontId="2" fillId="0" borderId="5" xfId="0" applyNumberFormat="1" applyFont="1" applyBorder="1" applyAlignment="1">
      <alignment horizontal="center" vertical="top"/>
    </xf>
    <xf numFmtId="2" fontId="2" fillId="0" borderId="7" xfId="0" applyNumberFormat="1" applyFont="1" applyBorder="1" applyAlignment="1">
      <alignment horizontal="center" vertical="top"/>
    </xf>
    <xf numFmtId="2" fontId="2" fillId="19" borderId="6" xfId="0" applyNumberFormat="1" applyFont="1" applyFill="1" applyBorder="1" applyAlignment="1">
      <alignment horizontal="center" vertical="top"/>
    </xf>
    <xf numFmtId="2" fontId="2" fillId="19" borderId="5" xfId="0" applyNumberFormat="1" applyFont="1" applyFill="1" applyBorder="1" applyAlignment="1">
      <alignment horizontal="center" vertical="top"/>
    </xf>
    <xf numFmtId="2" fontId="2" fillId="19" borderId="7" xfId="0" applyNumberFormat="1" applyFont="1" applyFill="1" applyBorder="1" applyAlignment="1">
      <alignment horizontal="center" vertical="top"/>
    </xf>
    <xf numFmtId="2" fontId="0" fillId="0" borderId="30" xfId="0" applyNumberFormat="1" applyBorder="1" applyAlignment="1">
      <alignment horizontal="center" vertical="top" wrapText="1"/>
    </xf>
    <xf numFmtId="2" fontId="0" fillId="0" borderId="1" xfId="0" applyNumberFormat="1" applyBorder="1" applyAlignment="1">
      <alignment horizontal="center" vertical="top" wrapText="1"/>
    </xf>
    <xf numFmtId="2" fontId="0" fillId="0" borderId="10" xfId="0" applyNumberFormat="1" applyBorder="1" applyAlignment="1">
      <alignment horizontal="center" vertical="top" wrapText="1"/>
    </xf>
    <xf numFmtId="2" fontId="2" fillId="0" borderId="6"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2" fontId="2" fillId="0" borderId="7" xfId="0" applyNumberFormat="1" applyFont="1" applyBorder="1" applyAlignment="1">
      <alignment horizontal="center"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2" fontId="2" fillId="0" borderId="3"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0" fontId="15" fillId="0" borderId="30" xfId="0" applyFont="1" applyBorder="1" applyAlignment="1">
      <alignment horizontal="center" vertical="center" wrapText="1"/>
    </xf>
    <xf numFmtId="0" fontId="15" fillId="0" borderId="1" xfId="0" applyFont="1" applyBorder="1" applyAlignment="1">
      <alignment horizontal="center" vertical="center" wrapText="1"/>
    </xf>
    <xf numFmtId="0" fontId="0" fillId="13" borderId="16" xfId="0" applyFont="1" applyFill="1" applyBorder="1" applyAlignment="1">
      <alignment horizontal="center" wrapText="1"/>
    </xf>
    <xf numFmtId="0" fontId="0" fillId="13" borderId="42" xfId="0" applyFont="1" applyFill="1" applyBorder="1" applyAlignment="1">
      <alignment horizontal="center" wrapText="1"/>
    </xf>
    <xf numFmtId="0" fontId="0" fillId="13" borderId="33" xfId="0" applyFont="1" applyFill="1" applyBorder="1" applyAlignment="1">
      <alignment horizontal="center" wrapText="1"/>
    </xf>
    <xf numFmtId="2" fontId="2" fillId="0" borderId="2" xfId="0" applyNumberFormat="1" applyFont="1" applyBorder="1" applyAlignment="1">
      <alignment horizontal="center" vertical="top" wrapText="1"/>
    </xf>
    <xf numFmtId="2" fontId="0" fillId="0" borderId="6" xfId="0" applyNumberFormat="1" applyFont="1" applyBorder="1" applyAlignment="1">
      <alignment horizontal="center" vertical="top" wrapText="1"/>
    </xf>
    <xf numFmtId="2" fontId="0" fillId="0" borderId="5" xfId="0" applyNumberFormat="1" applyFont="1" applyBorder="1" applyAlignment="1">
      <alignment horizontal="center" vertical="top" wrapText="1"/>
    </xf>
    <xf numFmtId="2" fontId="0" fillId="0" borderId="7" xfId="0" applyNumberFormat="1" applyFont="1" applyBorder="1" applyAlignment="1">
      <alignment horizontal="center" vertical="top"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2" fontId="2" fillId="19" borderId="2" xfId="0" applyNumberFormat="1" applyFont="1" applyFill="1" applyBorder="1" applyAlignment="1">
      <alignment horizontal="center" vertical="top" wrapText="1"/>
    </xf>
    <xf numFmtId="2" fontId="2" fillId="19" borderId="3" xfId="0" applyNumberFormat="1" applyFont="1" applyFill="1" applyBorder="1" applyAlignment="1">
      <alignment horizontal="center" vertical="top" wrapText="1"/>
    </xf>
    <xf numFmtId="2" fontId="2" fillId="19" borderId="4" xfId="0" applyNumberFormat="1" applyFont="1" applyFill="1" applyBorder="1" applyAlignment="1">
      <alignment horizontal="center" vertical="top" wrapText="1"/>
    </xf>
    <xf numFmtId="0" fontId="0" fillId="13" borderId="43" xfId="0" applyFont="1" applyFill="1" applyBorder="1" applyAlignment="1">
      <alignment horizontal="center" wrapText="1"/>
    </xf>
    <xf numFmtId="0" fontId="0" fillId="13" borderId="44" xfId="0" applyFont="1" applyFill="1" applyBorder="1" applyAlignment="1">
      <alignment horizontal="center" wrapText="1"/>
    </xf>
    <xf numFmtId="0" fontId="0" fillId="13" borderId="45" xfId="0" applyFont="1" applyFill="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2" fontId="2" fillId="0" borderId="2"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0" fontId="2" fillId="0"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0" fillId="13" borderId="47" xfId="0" applyFont="1" applyFill="1" applyBorder="1" applyAlignment="1">
      <alignment horizontal="center" wrapText="1"/>
    </xf>
    <xf numFmtId="0" fontId="0" fillId="13" borderId="48" xfId="0" applyFont="1" applyFill="1" applyBorder="1" applyAlignment="1">
      <alignment horizontal="center"/>
    </xf>
    <xf numFmtId="0" fontId="0" fillId="13" borderId="49" xfId="0" applyFont="1" applyFill="1" applyBorder="1" applyAlignment="1">
      <alignment horizontal="center"/>
    </xf>
    <xf numFmtId="0" fontId="0" fillId="13" borderId="48" xfId="0" applyFont="1" applyFill="1" applyBorder="1" applyAlignment="1">
      <alignment horizontal="center" wrapText="1"/>
    </xf>
    <xf numFmtId="0" fontId="0" fillId="13" borderId="49" xfId="0" applyFont="1" applyFill="1" applyBorder="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2" fontId="2" fillId="0" borderId="2" xfId="0" applyNumberFormat="1" applyFont="1" applyBorder="1" applyAlignment="1">
      <alignment horizontal="left" wrapText="1"/>
    </xf>
    <xf numFmtId="2" fontId="2" fillId="0" borderId="3" xfId="0" applyNumberFormat="1" applyFont="1" applyBorder="1" applyAlignment="1">
      <alignment horizontal="left" wrapText="1"/>
    </xf>
    <xf numFmtId="2" fontId="2" fillId="0" borderId="4" xfId="0" applyNumberFormat="1" applyFont="1" applyBorder="1" applyAlignment="1">
      <alignment horizontal="left" wrapText="1"/>
    </xf>
    <xf numFmtId="0" fontId="0" fillId="13" borderId="31" xfId="0" applyFont="1" applyFill="1" applyBorder="1" applyAlignment="1">
      <alignment horizontal="center" wrapText="1"/>
    </xf>
    <xf numFmtId="0" fontId="0" fillId="13" borderId="3" xfId="0" applyFont="1" applyFill="1" applyBorder="1" applyAlignment="1">
      <alignment horizontal="center" wrapText="1"/>
    </xf>
    <xf numFmtId="0" fontId="0" fillId="13" borderId="35" xfId="0" applyFont="1" applyFill="1" applyBorder="1" applyAlignment="1">
      <alignment horizontal="center" wrapText="1"/>
    </xf>
    <xf numFmtId="0" fontId="2" fillId="0" borderId="6" xfId="0" applyFont="1" applyBorder="1" applyAlignment="1">
      <alignment horizontal="center" vertical="center"/>
    </xf>
    <xf numFmtId="2" fontId="2" fillId="0" borderId="6" xfId="0" applyNumberFormat="1" applyFont="1" applyBorder="1" applyAlignment="1">
      <alignment horizontal="left" wrapText="1"/>
    </xf>
    <xf numFmtId="2" fontId="2" fillId="0" borderId="5" xfId="0" applyNumberFormat="1" applyFont="1" applyBorder="1" applyAlignment="1">
      <alignment horizontal="left" wrapText="1"/>
    </xf>
    <xf numFmtId="0" fontId="2" fillId="0" borderId="6" xfId="0" applyFont="1" applyBorder="1" applyAlignment="1">
      <alignment horizontal="center" vertical="top" wrapText="1"/>
    </xf>
    <xf numFmtId="0" fontId="15" fillId="0" borderId="0" xfId="0" applyFont="1" applyBorder="1" applyAlignment="1">
      <alignment horizontal="center" vertical="center" wrapText="1"/>
    </xf>
    <xf numFmtId="2" fontId="2" fillId="0" borderId="0" xfId="0" applyNumberFormat="1" applyFont="1" applyBorder="1" applyAlignment="1">
      <alignment horizontal="center" vertical="top" wrapText="1"/>
    </xf>
    <xf numFmtId="0" fontId="2" fillId="13" borderId="0" xfId="0" applyFont="1" applyFill="1" applyBorder="1" applyAlignment="1">
      <alignment horizontal="center" vertical="center" wrapText="1"/>
    </xf>
    <xf numFmtId="2" fontId="0" fillId="10" borderId="0" xfId="0" applyNumberFormat="1" applyFill="1"/>
    <xf numFmtId="2" fontId="0" fillId="11" borderId="0" xfId="0" applyNumberFormat="1" applyFill="1"/>
    <xf numFmtId="165" fontId="0" fillId="19" borderId="0" xfId="0" applyNumberFormat="1" applyFill="1"/>
    <xf numFmtId="165" fontId="0" fillId="0" borderId="0" xfId="0" applyNumberFormat="1"/>
  </cellXfs>
  <cellStyles count="5">
    <cellStyle name="Comma" xfId="3" builtinId="3"/>
    <cellStyle name="Hyperlink" xfId="4" builtinId="8"/>
    <cellStyle name="Normal" xfId="0" builtinId="0"/>
    <cellStyle name="Normal 2" xfId="1" xr:uid="{35B774E9-E275-4482-AD61-EAF6C60CE828}"/>
    <cellStyle name="Normal_XXXX" xfId="2" xr:uid="{72E515FC-5250-40FD-AA84-0A59A8845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h/Dropbox/Spiny%20Vertebrates/MASTER%20elicitation-spatial-traits%20files/Fish_elicitation_spatial_traits_202105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Victorian Blackfish"/>
      <sheetName val="East Gippsland Galaxias"/>
      <sheetName val="Short-tail Galaxias"/>
      <sheetName val="McDowall's Galaxias"/>
      <sheetName val="Dargo Galaxias"/>
      <sheetName val="Flathead Galaxias"/>
      <sheetName val="Cann Galaxias"/>
      <sheetName val="Yalmy Galaxias"/>
      <sheetName val="Stocky Galaxias"/>
      <sheetName val="Roundsnout Galaxias"/>
      <sheetName val="Eastern Freshwater Cod"/>
      <sheetName val="Macquarie Perch"/>
      <sheetName val="Blue Mountains Perch"/>
      <sheetName val="Non-parasitic Lamprey"/>
      <sheetName val="Oxleyan Pygmy Perch"/>
      <sheetName val="Honey Blue-eye"/>
      <sheetName val="Variability"/>
      <sheetName val="PopDecline"/>
      <sheetName val="ForGraphing"/>
      <sheetName val="PopDec-Traits"/>
      <sheetName val="FireOverlapAllSpecies"/>
      <sheetName val="FireOverlap"/>
      <sheetName val="transpose"/>
      <sheetName val="FireNoFire"/>
      <sheetName val="FireResponseEstimatesCM"/>
      <sheetName val="Sheet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A3" t="str">
            <v>SW Victorian Blackfish</v>
          </cell>
          <cell r="B3" t="str">
            <v>0_Immediately</v>
          </cell>
          <cell r="C3">
            <v>-3.8738616283808369E-2</v>
          </cell>
          <cell r="D3">
            <v>-8.6213917853854127E-2</v>
          </cell>
          <cell r="E3">
            <v>-5.7134334863064851E-3</v>
          </cell>
          <cell r="F3">
            <v>0.4</v>
          </cell>
          <cell r="G3">
            <v>0</v>
          </cell>
          <cell r="H3">
            <v>0</v>
          </cell>
          <cell r="I3">
            <v>0</v>
          </cell>
        </row>
        <row r="4">
          <cell r="A4" t="str">
            <v>East Gippsland Galaxias</v>
          </cell>
          <cell r="B4" t="str">
            <v>0_Immediately</v>
          </cell>
          <cell r="C4">
            <v>-35.149277688603505</v>
          </cell>
          <cell r="D4">
            <v>-62.923896150220365</v>
          </cell>
          <cell r="E4">
            <v>-19.035083696399866</v>
          </cell>
          <cell r="F4">
            <v>0.4</v>
          </cell>
          <cell r="G4">
            <v>0</v>
          </cell>
          <cell r="H4">
            <v>0</v>
          </cell>
          <cell r="I4">
            <v>0</v>
          </cell>
        </row>
        <row r="5">
          <cell r="A5" t="str">
            <v>Short-tail Galaxias</v>
          </cell>
          <cell r="B5" t="str">
            <v>0_Immediately</v>
          </cell>
          <cell r="C5">
            <v>-18.571428571428569</v>
          </cell>
          <cell r="D5">
            <v>-31.902494331065753</v>
          </cell>
          <cell r="E5">
            <v>-10.160997732426296</v>
          </cell>
          <cell r="F5">
            <v>0.4</v>
          </cell>
          <cell r="G5">
            <v>0</v>
          </cell>
          <cell r="H5">
            <v>0</v>
          </cell>
          <cell r="I5">
            <v>0</v>
          </cell>
        </row>
        <row r="6">
          <cell r="A6" t="str">
            <v>McDowall's Galaxias</v>
          </cell>
          <cell r="B6" t="str">
            <v>0_Immediately</v>
          </cell>
          <cell r="C6">
            <v>-35.150452819164471</v>
          </cell>
          <cell r="D6">
            <v>-60.101924887200958</v>
          </cell>
          <cell r="E6">
            <v>-19.496867595027112</v>
          </cell>
          <cell r="F6">
            <v>0.4</v>
          </cell>
          <cell r="G6">
            <v>0</v>
          </cell>
          <cell r="H6">
            <v>0</v>
          </cell>
          <cell r="I6">
            <v>0</v>
          </cell>
        </row>
        <row r="7">
          <cell r="A7" t="str">
            <v>Dargo Galaxias</v>
          </cell>
          <cell r="B7" t="str">
            <v>0_Immediately</v>
          </cell>
          <cell r="C7">
            <v>-10.524075552008512</v>
          </cell>
          <cell r="D7">
            <v>-17.890860875697257</v>
          </cell>
          <cell r="E7">
            <v>-5.9513463982737846</v>
          </cell>
          <cell r="F7">
            <v>0.4</v>
          </cell>
          <cell r="G7">
            <v>0</v>
          </cell>
          <cell r="H7">
            <v>0</v>
          </cell>
          <cell r="I7">
            <v>0</v>
          </cell>
        </row>
        <row r="8">
          <cell r="A8" t="str">
            <v>Flathead Galaxias</v>
          </cell>
          <cell r="B8" t="str">
            <v>0_Immediately</v>
          </cell>
          <cell r="C8">
            <v>-1.307202514426848</v>
          </cell>
          <cell r="D8">
            <v>-2.1828270441342994</v>
          </cell>
          <cell r="E8">
            <v>-0.58868787947187684</v>
          </cell>
          <cell r="F8">
            <v>0.4</v>
          </cell>
          <cell r="G8">
            <v>0</v>
          </cell>
          <cell r="H8">
            <v>0</v>
          </cell>
          <cell r="I8">
            <v>0</v>
          </cell>
        </row>
        <row r="9">
          <cell r="A9" t="str">
            <v>Cann Galaxias</v>
          </cell>
          <cell r="B9" t="str">
            <v>0_Immediately</v>
          </cell>
          <cell r="C9">
            <v>-37.012987012987018</v>
          </cell>
          <cell r="D9">
            <v>-66.701504844361992</v>
          </cell>
          <cell r="E9">
            <v>-25.79200164914451</v>
          </cell>
          <cell r="F9">
            <v>0.4</v>
          </cell>
          <cell r="G9">
            <v>0</v>
          </cell>
          <cell r="H9">
            <v>0</v>
          </cell>
          <cell r="I9">
            <v>0</v>
          </cell>
        </row>
        <row r="10">
          <cell r="A10" t="str">
            <v>Yalmy Galaxias</v>
          </cell>
          <cell r="B10" t="str">
            <v>0_Immediately</v>
          </cell>
          <cell r="C10">
            <v>-35.510943692648269</v>
          </cell>
          <cell r="D10">
            <v>-64.07055804076191</v>
          </cell>
          <cell r="E10">
            <v>-25.156258271033153</v>
          </cell>
          <cell r="F10">
            <v>0.4</v>
          </cell>
          <cell r="G10">
            <v>0</v>
          </cell>
          <cell r="H10">
            <v>0</v>
          </cell>
          <cell r="I10">
            <v>0</v>
          </cell>
        </row>
        <row r="11">
          <cell r="A11" t="str">
            <v>Stocky Galaxias</v>
          </cell>
          <cell r="B11" t="str">
            <v>0_Immediately</v>
          </cell>
          <cell r="C11">
            <v>-36.428571428571431</v>
          </cell>
          <cell r="D11">
            <v>-61.077097505668931</v>
          </cell>
          <cell r="E11">
            <v>-14.002267573696145</v>
          </cell>
          <cell r="F11">
            <v>0.4</v>
          </cell>
          <cell r="G11">
            <v>0</v>
          </cell>
          <cell r="H11">
            <v>0</v>
          </cell>
          <cell r="I11">
            <v>0</v>
          </cell>
        </row>
        <row r="12">
          <cell r="A12" t="str">
            <v>Roundsnout Galaxias</v>
          </cell>
          <cell r="B12" t="str">
            <v>0_Immediately</v>
          </cell>
          <cell r="C12">
            <v>-11.193684633950127</v>
          </cell>
          <cell r="D12">
            <v>-22.252450001185807</v>
          </cell>
          <cell r="E12">
            <v>-4.9774661004117462</v>
          </cell>
          <cell r="F12">
            <v>0.4</v>
          </cell>
          <cell r="G12">
            <v>0</v>
          </cell>
          <cell r="H12">
            <v>0</v>
          </cell>
          <cell r="I12">
            <v>0</v>
          </cell>
        </row>
        <row r="13">
          <cell r="A13" t="str">
            <v>Eastern Freshwater Cod</v>
          </cell>
          <cell r="B13" t="str">
            <v>0_Immediately</v>
          </cell>
          <cell r="C13">
            <v>-11.943952802359888</v>
          </cell>
          <cell r="D13">
            <v>-25.288041391581217</v>
          </cell>
          <cell r="E13">
            <v>-5.9533408250222521</v>
          </cell>
          <cell r="F13">
            <v>0.4</v>
          </cell>
          <cell r="G13">
            <v>0</v>
          </cell>
          <cell r="H13">
            <v>0</v>
          </cell>
          <cell r="I13">
            <v>0</v>
          </cell>
        </row>
        <row r="14">
          <cell r="A14" t="str">
            <v>Macquarie Perch</v>
          </cell>
          <cell r="B14" t="str">
            <v>0_Immediately</v>
          </cell>
          <cell r="C14">
            <v>-3.503847203411226</v>
          </cell>
          <cell r="D14">
            <v>-6.1626702776284787</v>
          </cell>
          <cell r="E14">
            <v>-1.5547505670262893</v>
          </cell>
          <cell r="F14">
            <v>0.4</v>
          </cell>
          <cell r="G14">
            <v>0</v>
          </cell>
          <cell r="H14">
            <v>0</v>
          </cell>
          <cell r="I14">
            <v>0</v>
          </cell>
        </row>
        <row r="15">
          <cell r="A15" t="str">
            <v>Blue Mountains Perch</v>
          </cell>
          <cell r="B15" t="str">
            <v>0_Immediately</v>
          </cell>
          <cell r="C15">
            <v>-14.297849074367491</v>
          </cell>
          <cell r="D15">
            <v>-24.882932106849651</v>
          </cell>
          <cell r="E15">
            <v>-6.8734892569723911</v>
          </cell>
          <cell r="F15">
            <v>0.4</v>
          </cell>
          <cell r="G15">
            <v>0</v>
          </cell>
          <cell r="H15">
            <v>0</v>
          </cell>
          <cell r="I15">
            <v>0</v>
          </cell>
        </row>
        <row r="16">
          <cell r="A16" t="str">
            <v>Non-parasitic Lamprey</v>
          </cell>
          <cell r="B16" t="str">
            <v>0_Immediately</v>
          </cell>
          <cell r="C16">
            <v>-12.470305721428574</v>
          </cell>
          <cell r="D16">
            <v>-24.007682831587303</v>
          </cell>
          <cell r="E16">
            <v>-4.6712508017460266</v>
          </cell>
          <cell r="F16">
            <v>0.4</v>
          </cell>
          <cell r="G16">
            <v>0</v>
          </cell>
          <cell r="H16">
            <v>0</v>
          </cell>
          <cell r="I16">
            <v>0</v>
          </cell>
        </row>
        <row r="17">
          <cell r="A17" t="str">
            <v>Oxleyan Pygmy Perch</v>
          </cell>
          <cell r="B17" t="str">
            <v>0_Immediately</v>
          </cell>
          <cell r="C17">
            <v>-7.4166309880595502</v>
          </cell>
          <cell r="D17">
            <v>-13.84287972043073</v>
          </cell>
          <cell r="E17">
            <v>-3.3852315484968472</v>
          </cell>
          <cell r="F17">
            <v>0.4</v>
          </cell>
          <cell r="G17">
            <v>0</v>
          </cell>
          <cell r="H17">
            <v>0</v>
          </cell>
          <cell r="I17">
            <v>0</v>
          </cell>
        </row>
        <row r="18">
          <cell r="A18" t="str">
            <v>Honey Blue-eye</v>
          </cell>
          <cell r="B18" t="str">
            <v>0_Immediately</v>
          </cell>
          <cell r="C18">
            <v>-5.6503496503496393</v>
          </cell>
          <cell r="D18">
            <v>-9.7007252007252021</v>
          </cell>
          <cell r="E18">
            <v>-3.2478632478632505</v>
          </cell>
          <cell r="F18">
            <v>0.4</v>
          </cell>
          <cell r="G18">
            <v>0</v>
          </cell>
          <cell r="H18">
            <v>0</v>
          </cell>
          <cell r="I18">
            <v>0</v>
          </cell>
        </row>
        <row r="19">
          <cell r="A19" t="str">
            <v>SW Victorian Blackfish</v>
          </cell>
          <cell r="B19" t="str">
            <v>1 year</v>
          </cell>
          <cell r="C19">
            <v>-7.1896663042000739</v>
          </cell>
          <cell r="D19">
            <v>-18.006042727906262</v>
          </cell>
          <cell r="E19">
            <v>3.9368941360242218</v>
          </cell>
          <cell r="F19">
            <v>1.4</v>
          </cell>
          <cell r="G19">
            <v>-7.1428571428571388</v>
          </cell>
          <cell r="H19">
            <v>-17.936507936507937</v>
          </cell>
          <cell r="I19">
            <v>3.9682539682539755</v>
          </cell>
        </row>
        <row r="20">
          <cell r="A20" t="str">
            <v>East Gippsland Galaxias</v>
          </cell>
          <cell r="B20" t="str">
            <v>1 year</v>
          </cell>
          <cell r="C20">
            <v>-49.178170144462257</v>
          </cell>
          <cell r="D20">
            <v>-84.334969043797287</v>
          </cell>
          <cell r="E20">
            <v>-29.740380646640645</v>
          </cell>
          <cell r="F20">
            <v>1.4</v>
          </cell>
          <cell r="G20">
            <v>-12.142857142857139</v>
          </cell>
          <cell r="H20">
            <v>-26.1111111111111</v>
          </cell>
          <cell r="I20">
            <v>-0.87301587301587347</v>
          </cell>
        </row>
        <row r="21">
          <cell r="A21" t="str">
            <v>Short-tail Galaxias</v>
          </cell>
          <cell r="B21" t="str">
            <v>1 year</v>
          </cell>
          <cell r="C21">
            <v>-30.357142857142861</v>
          </cell>
          <cell r="D21">
            <v>-55.320861678004533</v>
          </cell>
          <cell r="E21">
            <v>-14.98526077097506</v>
          </cell>
          <cell r="F21">
            <v>1.4</v>
          </cell>
          <cell r="G21">
            <v>-8.5714285714285694</v>
          </cell>
          <cell r="H21">
            <v>-28.253968253968253</v>
          </cell>
          <cell r="I21">
            <v>1.1111111111111143</v>
          </cell>
        </row>
        <row r="22">
          <cell r="A22" t="str">
            <v>McDowall's Galaxias</v>
          </cell>
          <cell r="B22" t="str">
            <v>1 year</v>
          </cell>
          <cell r="C22">
            <v>-48.973122991527902</v>
          </cell>
          <cell r="D22">
            <v>-78.602590320381722</v>
          </cell>
          <cell r="E22">
            <v>-27.557211023468696</v>
          </cell>
          <cell r="F22">
            <v>1.4</v>
          </cell>
          <cell r="G22">
            <v>-10.714285714285708</v>
          </cell>
          <cell r="H22">
            <v>-29.19047619047619</v>
          </cell>
          <cell r="I22">
            <v>2.9206349206349245</v>
          </cell>
        </row>
        <row r="23">
          <cell r="A23" t="str">
            <v>Dargo Galaxias</v>
          </cell>
          <cell r="B23" t="str">
            <v>1 year</v>
          </cell>
          <cell r="C23">
            <v>-23.446395317903679</v>
          </cell>
          <cell r="D23">
            <v>-42.145390744752255</v>
          </cell>
          <cell r="E23">
            <v>-8.9997973118483827</v>
          </cell>
          <cell r="F23">
            <v>1.4</v>
          </cell>
          <cell r="G23">
            <v>-12.142857142857139</v>
          </cell>
          <cell r="H23">
            <v>-26.428571428571416</v>
          </cell>
          <cell r="I23">
            <v>-0.79365079365078373</v>
          </cell>
        </row>
        <row r="24">
          <cell r="A24" t="str">
            <v>Flathead Galaxias</v>
          </cell>
          <cell r="B24" t="str">
            <v>1 year</v>
          </cell>
          <cell r="C24">
            <v>-9.1536209882217605</v>
          </cell>
          <cell r="D24">
            <v>-30.555386174705404</v>
          </cell>
          <cell r="E24">
            <v>3.7830539709952973</v>
          </cell>
          <cell r="F24">
            <v>1.4</v>
          </cell>
          <cell r="G24">
            <v>-7.8571428571428612</v>
          </cell>
          <cell r="H24">
            <v>-29.043083900226762</v>
          </cell>
          <cell r="I24">
            <v>4.5986394557823047</v>
          </cell>
        </row>
        <row r="25">
          <cell r="A25" t="str">
            <v>Cann Galaxias</v>
          </cell>
          <cell r="B25" t="str">
            <v>1 year</v>
          </cell>
          <cell r="C25">
            <v>-51.753246753246749</v>
          </cell>
          <cell r="D25">
            <v>-84.692022263450838</v>
          </cell>
          <cell r="E25">
            <v>-34.458256029684605</v>
          </cell>
          <cell r="F25">
            <v>1.4</v>
          </cell>
          <cell r="G25">
            <v>-10.714285714285708</v>
          </cell>
          <cell r="H25">
            <v>-30.043083900226748</v>
          </cell>
          <cell r="I25">
            <v>2.3945578231292615</v>
          </cell>
        </row>
        <row r="26">
          <cell r="A26" t="str">
            <v>Yalmy Galaxias</v>
          </cell>
          <cell r="B26" t="str">
            <v>1 year</v>
          </cell>
          <cell r="C26">
            <v>-54.537704859499414</v>
          </cell>
          <cell r="D26">
            <v>-80.851388910142077</v>
          </cell>
          <cell r="E26">
            <v>-37.193965114163632</v>
          </cell>
          <cell r="F26">
            <v>1.4</v>
          </cell>
          <cell r="G26">
            <v>-16.428571428571431</v>
          </cell>
          <cell r="H26">
            <v>-31.75736961451247</v>
          </cell>
          <cell r="I26">
            <v>-4.8299319727891117</v>
          </cell>
        </row>
        <row r="27">
          <cell r="A27" t="str">
            <v>Stocky Galaxias</v>
          </cell>
          <cell r="B27" t="str">
            <v>1 year</v>
          </cell>
          <cell r="C27">
            <v>-50</v>
          </cell>
          <cell r="D27">
            <v>-81.632653061224488</v>
          </cell>
          <cell r="E27">
            <v>-24.795918367346943</v>
          </cell>
          <cell r="F27">
            <v>1.4</v>
          </cell>
          <cell r="G27">
            <v>-10.714285714285708</v>
          </cell>
          <cell r="H27">
            <v>-23.095238095238088</v>
          </cell>
          <cell r="I27">
            <v>1.5079365079365203</v>
          </cell>
        </row>
        <row r="28">
          <cell r="A28" t="str">
            <v>Roundsnout Galaxias</v>
          </cell>
          <cell r="B28" t="str">
            <v>1 year</v>
          </cell>
          <cell r="C28">
            <v>-21.016980806803829</v>
          </cell>
          <cell r="D28">
            <v>-42.766590411976019</v>
          </cell>
          <cell r="E28">
            <v>-5.4481490906901797</v>
          </cell>
          <cell r="F28">
            <v>1.4</v>
          </cell>
          <cell r="G28">
            <v>-7.1428571428571388</v>
          </cell>
          <cell r="H28">
            <v>-22.471655328798178</v>
          </cell>
          <cell r="I28">
            <v>4.9659863945578309</v>
          </cell>
        </row>
        <row r="29">
          <cell r="A29" t="str">
            <v>Eastern Freshwater Cod</v>
          </cell>
          <cell r="B29" t="str">
            <v>1 year</v>
          </cell>
          <cell r="C29">
            <v>-19.212389380530965</v>
          </cell>
          <cell r="D29">
            <v>-37.438487882862084</v>
          </cell>
          <cell r="E29">
            <v>-5.2913899089626</v>
          </cell>
          <cell r="F29">
            <v>1.4</v>
          </cell>
          <cell r="G29">
            <v>-5</v>
          </cell>
          <cell r="H29">
            <v>-12.086167800453509</v>
          </cell>
          <cell r="I29">
            <v>2.0861678004535094</v>
          </cell>
        </row>
        <row r="30">
          <cell r="A30" t="str">
            <v>Macquarie Perch</v>
          </cell>
          <cell r="B30" t="str">
            <v>1 year</v>
          </cell>
          <cell r="C30">
            <v>-8.9494439301074493</v>
          </cell>
          <cell r="D30">
            <v>-26.610122749689339</v>
          </cell>
          <cell r="E30">
            <v>-1.3464574831194227</v>
          </cell>
          <cell r="F30">
            <v>1.4</v>
          </cell>
          <cell r="G30">
            <v>-4.2857142857142918</v>
          </cell>
          <cell r="H30">
            <v>-21.303854875283449</v>
          </cell>
          <cell r="I30">
            <v>1.2131519274376359</v>
          </cell>
        </row>
        <row r="31">
          <cell r="A31" t="str">
            <v>Blue Mountains Perch</v>
          </cell>
          <cell r="B31" t="str">
            <v>1 year</v>
          </cell>
          <cell r="C31">
            <v>-23.917952343708507</v>
          </cell>
          <cell r="D31">
            <v>-47.678479954288591</v>
          </cell>
          <cell r="E31">
            <v>-11.504978076263768</v>
          </cell>
          <cell r="F31">
            <v>1.4</v>
          </cell>
          <cell r="G31">
            <v>-5</v>
          </cell>
          <cell r="H31">
            <v>-29.569160997732425</v>
          </cell>
          <cell r="I31">
            <v>0.70294784580498515</v>
          </cell>
        </row>
        <row r="32">
          <cell r="A32" t="str">
            <v>Non-parasitic Lamprey</v>
          </cell>
          <cell r="B32" t="str">
            <v>1 year</v>
          </cell>
          <cell r="C32">
            <v>-26.199121428571431</v>
          </cell>
          <cell r="D32">
            <v>-48.871108515941046</v>
          </cell>
          <cell r="E32">
            <v>-5.5039925118367421</v>
          </cell>
          <cell r="F32">
            <v>1.4</v>
          </cell>
          <cell r="G32">
            <v>-9.2857142857142918</v>
          </cell>
          <cell r="H32">
            <v>-31.793650793650798</v>
          </cell>
          <cell r="I32">
            <v>10.492063492063494</v>
          </cell>
        </row>
        <row r="33">
          <cell r="A33" t="str">
            <v>Oxleyan Pygmy Perch</v>
          </cell>
          <cell r="B33" t="str">
            <v>1 year</v>
          </cell>
          <cell r="C33">
            <v>-14.235288521002801</v>
          </cell>
          <cell r="D33">
            <v>-34.1689527403813</v>
          </cell>
          <cell r="E33">
            <v>-2.8761903251699152</v>
          </cell>
          <cell r="F33">
            <v>1.4</v>
          </cell>
          <cell r="G33">
            <v>-7.1428571428571388</v>
          </cell>
          <cell r="H33">
            <v>-24.433106575963706</v>
          </cell>
          <cell r="I33">
            <v>1.3718820861678012</v>
          </cell>
        </row>
        <row r="34">
          <cell r="A34" t="str">
            <v>Honey Blue-eye</v>
          </cell>
          <cell r="B34" t="str">
            <v>1 year</v>
          </cell>
          <cell r="C34">
            <v>-11.627622377622387</v>
          </cell>
          <cell r="D34">
            <v>-36.257945757945762</v>
          </cell>
          <cell r="E34">
            <v>-0.67562067562066375</v>
          </cell>
          <cell r="F34">
            <v>1.4</v>
          </cell>
          <cell r="G34">
            <v>-5.8333333333333286</v>
          </cell>
          <cell r="H34">
            <v>-30.291005291005291</v>
          </cell>
          <cell r="I34">
            <v>3.3862433862433932</v>
          </cell>
        </row>
        <row r="35">
          <cell r="A35" t="str">
            <v>SW Victorian Blackfish</v>
          </cell>
          <cell r="B35" t="str">
            <v>10 years or 3 gens</v>
          </cell>
          <cell r="C35">
            <v>-23.59564020660595</v>
          </cell>
          <cell r="D35">
            <v>-43.262907208554211</v>
          </cell>
          <cell r="E35">
            <v>12.087490641673739</v>
          </cell>
          <cell r="F35">
            <v>10.4</v>
          </cell>
          <cell r="G35">
            <v>-23.571428571428569</v>
          </cell>
          <cell r="H35">
            <v>-43.208616780045347</v>
          </cell>
          <cell r="I35">
            <v>12.142857142857139</v>
          </cell>
        </row>
        <row r="36">
          <cell r="A36" t="str">
            <v>East Gippsland Galaxias</v>
          </cell>
          <cell r="B36" t="str">
            <v>10 years or 3 gens</v>
          </cell>
          <cell r="C36">
            <v>-56.577849117174942</v>
          </cell>
          <cell r="D36">
            <v>-94.747443246961694</v>
          </cell>
          <cell r="E36">
            <v>-37.607796376977738</v>
          </cell>
          <cell r="F36">
            <v>10.4</v>
          </cell>
          <cell r="G36">
            <v>-30</v>
          </cell>
          <cell r="H36">
            <v>-57.714285714285715</v>
          </cell>
          <cell r="I36">
            <v>-9.5714285714285694</v>
          </cell>
        </row>
        <row r="37">
          <cell r="A37" t="str">
            <v>Short-tail Galaxias</v>
          </cell>
          <cell r="B37" t="str">
            <v>10 years or 3 gens</v>
          </cell>
          <cell r="C37">
            <v>-41.071428571428569</v>
          </cell>
          <cell r="D37">
            <v>-75.65306122448979</v>
          </cell>
          <cell r="E37">
            <v>-20.867346938775512</v>
          </cell>
          <cell r="F37">
            <v>10.4</v>
          </cell>
          <cell r="G37">
            <v>-25</v>
          </cell>
          <cell r="H37">
            <v>-60.285714285714285</v>
          </cell>
          <cell r="I37">
            <v>-5.2857142857142776</v>
          </cell>
        </row>
        <row r="38">
          <cell r="A38" t="str">
            <v>McDowall's Galaxias</v>
          </cell>
          <cell r="B38" t="str">
            <v>10 years or 3 gens</v>
          </cell>
          <cell r="C38">
            <v>-58.439964943032422</v>
          </cell>
          <cell r="D38">
            <v>-90.202217492313892</v>
          </cell>
          <cell r="E38">
            <v>-39.156685168955107</v>
          </cell>
          <cell r="F38">
            <v>10.4</v>
          </cell>
          <cell r="G38">
            <v>-25.714285714285708</v>
          </cell>
          <cell r="H38">
            <v>-60.476190476190467</v>
          </cell>
          <cell r="I38">
            <v>-5.2380952380952408</v>
          </cell>
        </row>
        <row r="39">
          <cell r="A39" t="str">
            <v>Dargo Galaxias</v>
          </cell>
          <cell r="B39" t="str">
            <v>10 years or 3 gens</v>
          </cell>
          <cell r="C39">
            <v>-37.850492152168123</v>
          </cell>
          <cell r="D39">
            <v>-66.752733123044365</v>
          </cell>
          <cell r="E39">
            <v>-15.856142084394264</v>
          </cell>
          <cell r="F39">
            <v>10.4</v>
          </cell>
          <cell r="G39">
            <v>-28.571428571428569</v>
          </cell>
          <cell r="H39">
            <v>-55.714285714285708</v>
          </cell>
          <cell r="I39">
            <v>-5.952380952380949</v>
          </cell>
        </row>
        <row r="40">
          <cell r="A40" t="str">
            <v>Flathead Galaxias</v>
          </cell>
          <cell r="B40" t="str">
            <v>10 years or 3 gens</v>
          </cell>
          <cell r="C40">
            <v>-25.940960180503907</v>
          </cell>
          <cell r="D40">
            <v>-52.901462128512655</v>
          </cell>
          <cell r="E40">
            <v>5.5866588096354519</v>
          </cell>
          <cell r="F40">
            <v>10.4</v>
          </cell>
          <cell r="G40">
            <v>-25</v>
          </cell>
          <cell r="H40">
            <v>-51.741496598639458</v>
          </cell>
          <cell r="I40">
            <v>6.4353741496598644</v>
          </cell>
        </row>
        <row r="41">
          <cell r="A41" t="str">
            <v>Cann Galaxias</v>
          </cell>
          <cell r="B41" t="str">
            <v>10 years or 3 gens</v>
          </cell>
          <cell r="C41">
            <v>-59.805194805194809</v>
          </cell>
          <cell r="D41">
            <v>-93.838589981447129</v>
          </cell>
          <cell r="E41">
            <v>-39.863327149041439</v>
          </cell>
          <cell r="F41">
            <v>10.4</v>
          </cell>
          <cell r="G41">
            <v>-35.714285714285708</v>
          </cell>
          <cell r="H41">
            <v>-57.904761904761898</v>
          </cell>
          <cell r="I41">
            <v>-7.0204081632653015</v>
          </cell>
        </row>
        <row r="42">
          <cell r="A42" t="str">
            <v>Yalmy Galaxias</v>
          </cell>
          <cell r="B42" t="str">
            <v>10 years or 3 gens</v>
          </cell>
          <cell r="C42">
            <v>-61.066519084514582</v>
          </cell>
          <cell r="D42">
            <v>-90.29564037562038</v>
          </cell>
          <cell r="E42">
            <v>-39.156318346717171</v>
          </cell>
          <cell r="F42">
            <v>10.4</v>
          </cell>
          <cell r="G42">
            <v>-39.285714285714285</v>
          </cell>
          <cell r="H42">
            <v>-59.72789115646259</v>
          </cell>
          <cell r="I42">
            <v>-17.732426303854879</v>
          </cell>
        </row>
        <row r="43">
          <cell r="A43" t="str">
            <v>Stocky Galaxias</v>
          </cell>
          <cell r="B43" t="str">
            <v>10 years or 3 gens</v>
          </cell>
          <cell r="C43">
            <v>-52.142857142857146</v>
          </cell>
          <cell r="D43">
            <v>-90.578231292517017</v>
          </cell>
          <cell r="E43">
            <v>-27.244897959183675</v>
          </cell>
          <cell r="F43">
            <v>10.4</v>
          </cell>
          <cell r="G43">
            <v>-24.285714285714292</v>
          </cell>
          <cell r="H43">
            <v>-48.26530612244899</v>
          </cell>
          <cell r="I43">
            <v>-5.5102040816326507</v>
          </cell>
        </row>
        <row r="44">
          <cell r="A44" t="str">
            <v>Roundsnout Galaxias</v>
          </cell>
          <cell r="B44" t="str">
            <v>10 years or 3 gens</v>
          </cell>
          <cell r="C44">
            <v>-33.654752327318718</v>
          </cell>
          <cell r="D44">
            <v>-62.299523590610832</v>
          </cell>
          <cell r="E44">
            <v>-12.472673502224708</v>
          </cell>
          <cell r="F44">
            <v>10.4</v>
          </cell>
          <cell r="G44">
            <v>-21.428571428571431</v>
          </cell>
          <cell r="H44">
            <v>-48.095238095238095</v>
          </cell>
          <cell r="I44">
            <v>-1.6666666666666714</v>
          </cell>
        </row>
        <row r="45">
          <cell r="A45" t="str">
            <v>Eastern Freshwater Cod</v>
          </cell>
          <cell r="B45" t="str">
            <v>10 years or 3 gens</v>
          </cell>
          <cell r="C45">
            <v>-12.032237673830593</v>
          </cell>
          <cell r="D45">
            <v>-43.384383842032385</v>
          </cell>
          <cell r="E45">
            <v>7.1699476250671523E-2</v>
          </cell>
          <cell r="F45">
            <v>10.4</v>
          </cell>
          <cell r="G45">
            <v>-2.1428571428571388</v>
          </cell>
          <cell r="H45">
            <v>-25.102040816326536</v>
          </cell>
          <cell r="I45">
            <v>8.6734693877551052</v>
          </cell>
        </row>
        <row r="46">
          <cell r="A46" t="str">
            <v>Macquarie Perch</v>
          </cell>
          <cell r="B46" t="str">
            <v>10 years or 3 gens</v>
          </cell>
          <cell r="C46">
            <v>-24.654212085040257</v>
          </cell>
          <cell r="D46">
            <v>-48.727067592808041</v>
          </cell>
          <cell r="E46">
            <v>-2.7759932769207438</v>
          </cell>
          <cell r="F46">
            <v>10.4</v>
          </cell>
          <cell r="G46">
            <v>-22.142857142857139</v>
          </cell>
          <cell r="H46">
            <v>-44.512471655328795</v>
          </cell>
          <cell r="I46">
            <v>2.2675736961446091E-2</v>
          </cell>
        </row>
        <row r="47">
          <cell r="A47" t="str">
            <v>Blue Mountains Perch</v>
          </cell>
          <cell r="B47" t="str">
            <v>10 years or 3 gens</v>
          </cell>
          <cell r="C47">
            <v>-34.570831448243524</v>
          </cell>
          <cell r="D47">
            <v>-67.061702554677197</v>
          </cell>
          <cell r="E47">
            <v>-14.917148503908123</v>
          </cell>
          <cell r="F47">
            <v>10.4</v>
          </cell>
          <cell r="G47">
            <v>-26.428571428571431</v>
          </cell>
          <cell r="H47">
            <v>-52.267573696145128</v>
          </cell>
          <cell r="I47">
            <v>-4.8752834467120181</v>
          </cell>
        </row>
        <row r="48">
          <cell r="A48" t="str">
            <v>Non-parasitic Lamprey</v>
          </cell>
          <cell r="B48" t="str">
            <v>10 years or 3 gens</v>
          </cell>
          <cell r="C48">
            <v>-40.594924564285705</v>
          </cell>
          <cell r="D48">
            <v>-68.019514040884346</v>
          </cell>
          <cell r="E48">
            <v>-11.90696937204082</v>
          </cell>
          <cell r="F48">
            <v>10.4</v>
          </cell>
          <cell r="G48">
            <v>-30.714285714285708</v>
          </cell>
          <cell r="H48">
            <v>-57.920634920634917</v>
          </cell>
          <cell r="I48">
            <v>-7.5555555555555429</v>
          </cell>
        </row>
        <row r="49">
          <cell r="A49" t="str">
            <v>Oxleyan Pygmy Perch</v>
          </cell>
          <cell r="B49" t="str">
            <v>10 years or 3 gens</v>
          </cell>
          <cell r="C49">
            <v>-25.155558726987294</v>
          </cell>
          <cell r="D49">
            <v>-47.106861392575674</v>
          </cell>
          <cell r="E49">
            <v>-3.7368527164445453</v>
          </cell>
          <cell r="F49">
            <v>10.4</v>
          </cell>
          <cell r="G49">
            <v>-20</v>
          </cell>
          <cell r="H49">
            <v>-38.061224489795919</v>
          </cell>
          <cell r="I49">
            <v>1.0204081632653015</v>
          </cell>
        </row>
        <row r="50">
          <cell r="A50" t="str">
            <v>Honey Blue-eye</v>
          </cell>
          <cell r="B50" t="str">
            <v>10 years or 3 gens</v>
          </cell>
          <cell r="C50">
            <v>-21.266317016317018</v>
          </cell>
          <cell r="D50">
            <v>-47.860722610722618</v>
          </cell>
          <cell r="E50">
            <v>2.8955766455766536</v>
          </cell>
          <cell r="F50">
            <v>10.4</v>
          </cell>
          <cell r="G50">
            <v>-16.666666666666671</v>
          </cell>
          <cell r="H50">
            <v>-43.333333333333343</v>
          </cell>
          <cell r="I50">
            <v>7.6190476190476204</v>
          </cell>
        </row>
      </sheetData>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gavin.butler@dpi.nsw.gov.au" TargetMode="External"/><Relationship Id="rId13" Type="http://schemas.openxmlformats.org/officeDocument/2006/relationships/hyperlink" Target="mailto:josephine.machunter@delwp.vic.gov.au" TargetMode="External"/><Relationship Id="rId18" Type="http://schemas.openxmlformats.org/officeDocument/2006/relationships/hyperlink" Target="mailto:nicola.mitchell@uwa.edu.au" TargetMode="External"/><Relationship Id="rId26" Type="http://schemas.openxmlformats.org/officeDocument/2006/relationships/hyperlink" Target="mailto:stephen.mahony93@gmail.com" TargetMode="External"/><Relationship Id="rId39" Type="http://schemas.openxmlformats.org/officeDocument/2006/relationships/hyperlink" Target="mailto:diego.brizuela.t@gmail.com" TargetMode="External"/><Relationship Id="rId3" Type="http://schemas.openxmlformats.org/officeDocument/2006/relationships/hyperlink" Target="mailto:DMichael@csu.edu.au" TargetMode="External"/><Relationship Id="rId21" Type="http://schemas.openxmlformats.org/officeDocument/2006/relationships/hyperlink" Target="mailto:renee.catullo@uwa.edu.au" TargetMode="External"/><Relationship Id="rId34" Type="http://schemas.openxmlformats.org/officeDocument/2006/relationships/hyperlink" Target="mailto:dnimmo@csu.edu.au" TargetMode="External"/><Relationship Id="rId42" Type="http://schemas.openxmlformats.org/officeDocument/2006/relationships/hyperlink" Target="mailto:Ivan.Lawler@awe.gov.au" TargetMode="External"/><Relationship Id="rId7" Type="http://schemas.openxmlformats.org/officeDocument/2006/relationships/hyperlink" Target="mailto:Eridani.Mulder@australianwildlife.org" TargetMode="External"/><Relationship Id="rId12" Type="http://schemas.openxmlformats.org/officeDocument/2006/relationships/hyperlink" Target="mailto:Jodi.Rowley@austmus.gov.au" TargetMode="External"/><Relationship Id="rId17" Type="http://schemas.openxmlformats.org/officeDocument/2006/relationships/hyperlink" Target="mailto:michael.mahony@newcastle.edu.au" TargetMode="External"/><Relationship Id="rId25" Type="http://schemas.openxmlformats.org/officeDocument/2006/relationships/hyperlink" Target="mailto:Shane.Ahyong@austmus.gov.au" TargetMode="External"/><Relationship Id="rId33" Type="http://schemas.openxmlformats.org/officeDocument/2006/relationships/hyperlink" Target="mailto:Mark.Lintermans@canberra.edu.au" TargetMode="External"/><Relationship Id="rId38" Type="http://schemas.openxmlformats.org/officeDocument/2006/relationships/hyperlink" Target="mailto:valavi.r@gmail.com" TargetMode="External"/><Relationship Id="rId2" Type="http://schemas.openxmlformats.org/officeDocument/2006/relationships/hyperlink" Target="mailto:Caroline.Blackmore@environment.nsw.gov.au" TargetMode="External"/><Relationship Id="rId16" Type="http://schemas.openxmlformats.org/officeDocument/2006/relationships/hyperlink" Target="mailto:matthew.west@unimelb.edu.au" TargetMode="External"/><Relationship Id="rId20" Type="http://schemas.openxmlformats.org/officeDocument/2006/relationships/hyperlink" Target="mailto:pburns@zoo.org.au" TargetMode="External"/><Relationship Id="rId29" Type="http://schemas.openxmlformats.org/officeDocument/2006/relationships/hyperlink" Target="mailto:Tarmo.Raadik@delwp.vic.gov.au" TargetMode="External"/><Relationship Id="rId41" Type="http://schemas.openxmlformats.org/officeDocument/2006/relationships/hyperlink" Target="mailto:Jason.Ferris@awe.gov.au" TargetMode="External"/><Relationship Id="rId1" Type="http://schemas.openxmlformats.org/officeDocument/2006/relationships/hyperlink" Target="mailto:allan.burbidge@dbca.wa.gov.au" TargetMode="External"/><Relationship Id="rId6" Type="http://schemas.openxmlformats.org/officeDocument/2006/relationships/hyperlink" Target="mailto:d.kuchinke@federation.edu.au" TargetMode="External"/><Relationship Id="rId11" Type="http://schemas.openxmlformats.org/officeDocument/2006/relationships/hyperlink" Target="mailto:jmelv@museum.vic.gov.au" TargetMode="External"/><Relationship Id="rId24" Type="http://schemas.openxmlformats.org/officeDocument/2006/relationships/hyperlink" Target="mailto:rob@aabio.com.au" TargetMode="External"/><Relationship Id="rId32" Type="http://schemas.openxmlformats.org/officeDocument/2006/relationships/hyperlink" Target="mailto:stephen.garnett@cdu.edu.au" TargetMode="External"/><Relationship Id="rId37" Type="http://schemas.openxmlformats.org/officeDocument/2006/relationships/hyperlink" Target="mailto:david.wilkinson.research@gmail.com" TargetMode="External"/><Relationship Id="rId40" Type="http://schemas.openxmlformats.org/officeDocument/2006/relationships/hyperlink" Target="mailto:hayley.geyle@cdu.edu.au" TargetMode="External"/><Relationship Id="rId5" Type="http://schemas.openxmlformats.org/officeDocument/2006/relationships/hyperlink" Target="mailto:deborah.bower@une.edu.au" TargetMode="External"/><Relationship Id="rId15" Type="http://schemas.openxmlformats.org/officeDocument/2006/relationships/hyperlink" Target="mailto:matthew.greenlees@mq.edu.au" TargetMode="External"/><Relationship Id="rId23" Type="http://schemas.openxmlformats.org/officeDocument/2006/relationships/hyperlink" Target="mailto:R.Spencer@westernsydney.edu.au" TargetMode="External"/><Relationship Id="rId28" Type="http://schemas.openxmlformats.org/officeDocument/2006/relationships/hyperlink" Target="mailto:sylvia.zukowski@aquasave.com.au" TargetMode="External"/><Relationship Id="rId36" Type="http://schemas.openxmlformats.org/officeDocument/2006/relationships/hyperlink" Target="mailto:darren.southwell@unimelb.edu.au" TargetMode="External"/><Relationship Id="rId10" Type="http://schemas.openxmlformats.org/officeDocument/2006/relationships/hyperlink" Target="mailto:holly.sitters@unimelb.edu.au" TargetMode="External"/><Relationship Id="rId19" Type="http://schemas.openxmlformats.org/officeDocument/2006/relationships/hyperlink" Target="mailto:peter.menkhorst@delwp.vic.gov.au" TargetMode="External"/><Relationship Id="rId31" Type="http://schemas.openxmlformats.org/officeDocument/2006/relationships/hyperlink" Target="mailto:ben.scheele@anu.edu.au" TargetMode="External"/><Relationship Id="rId4" Type="http://schemas.openxmlformats.org/officeDocument/2006/relationships/hyperlink" Target="mailto:David.Newell@scu.edu.au" TargetMode="External"/><Relationship Id="rId9" Type="http://schemas.openxmlformats.org/officeDocument/2006/relationships/hyperlink" Target="mailto:Graeme.Gillespie@nt.gov.au" TargetMode="External"/><Relationship Id="rId14" Type="http://schemas.openxmlformats.org/officeDocument/2006/relationships/hyperlink" Target="mailto:kadoyle@csu.edu.au" TargetMode="External"/><Relationship Id="rId22" Type="http://schemas.openxmlformats.org/officeDocument/2006/relationships/hyperlink" Target="mailto:richard.loyn@bigpond.com" TargetMode="External"/><Relationship Id="rId27" Type="http://schemas.openxmlformats.org/officeDocument/2006/relationships/hyperlink" Target="mailto:S.Lawler@latrobe.edu.au" TargetMode="External"/><Relationship Id="rId30" Type="http://schemas.openxmlformats.org/officeDocument/2006/relationships/hyperlink" Target="mailto:SarahMariaLegge@gmail.com" TargetMode="External"/><Relationship Id="rId35" Type="http://schemas.openxmlformats.org/officeDocument/2006/relationships/hyperlink" Target="mailto:nick.whiterod@aquasave.com.au" TargetMode="External"/><Relationship Id="rId43" Type="http://schemas.openxmlformats.org/officeDocument/2006/relationships/hyperlink" Target="mailto:cjolly@csu.edu.au"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77FD-2A0D-405F-B035-1DF9179D8E73}">
  <dimension ref="A1:CE333"/>
  <sheetViews>
    <sheetView zoomScale="70" zoomScaleNormal="70" workbookViewId="0">
      <pane xSplit="4" ySplit="1" topLeftCell="AY29" activePane="bottomRight" state="frozen"/>
      <selection pane="topRight" activeCell="E1" sqref="E1"/>
      <selection pane="bottomLeft" activeCell="A2" sqref="A2"/>
      <selection pane="bottomRight" activeCell="AM1" sqref="AM1:BD1"/>
    </sheetView>
  </sheetViews>
  <sheetFormatPr defaultColWidth="8.88671875" defaultRowHeight="14.4" x14ac:dyDescent="0.3"/>
  <cols>
    <col min="1" max="1" width="7.109375" style="41" bestFit="1" customWidth="1"/>
    <col min="2" max="2" width="19.109375" style="41" bestFit="1" customWidth="1"/>
    <col min="3" max="3" width="44.33203125" style="146" bestFit="1" customWidth="1"/>
    <col min="4" max="4" width="45.5546875" style="146" bestFit="1" customWidth="1"/>
    <col min="5" max="5" width="11.109375" style="183" customWidth="1"/>
    <col min="6" max="6" width="34.88671875" style="160" customWidth="1"/>
    <col min="7" max="7" width="11.109375" style="155" customWidth="1"/>
    <col min="8" max="8" width="11.109375" style="136" customWidth="1"/>
    <col min="9" max="9" width="11.109375" style="156" customWidth="1"/>
    <col min="10" max="10" width="11.109375" style="136" customWidth="1"/>
    <col min="11" max="11" width="11.5546875" style="136" customWidth="1"/>
    <col min="12" max="15" width="11.109375" style="304" customWidth="1"/>
    <col min="16" max="16" width="10.6640625" style="184" customWidth="1"/>
    <col min="17" max="17" width="8.5546875" style="23" customWidth="1"/>
    <col min="18" max="19" width="8.5546875" style="41" customWidth="1"/>
    <col min="20" max="22" width="9.44140625" style="41" customWidth="1"/>
    <col min="23" max="23" width="11.33203125" style="77" customWidth="1"/>
    <col min="24" max="24" width="12.33203125" style="77" customWidth="1"/>
    <col min="25" max="33" width="8.6640625" style="77" customWidth="1"/>
    <col min="34" max="34" width="10.6640625" style="77" customWidth="1"/>
    <col min="35" max="35" width="10.6640625" style="41" customWidth="1"/>
    <col min="36" max="37" width="8.88671875" style="41"/>
    <col min="38" max="38" width="9.88671875" style="29" bestFit="1" customWidth="1"/>
    <col min="39" max="41" width="8.5546875" style="41" customWidth="1"/>
    <col min="42" max="44" width="9.44140625" style="41" customWidth="1"/>
    <col min="45" max="45" width="11.33203125" style="77" customWidth="1"/>
    <col min="46" max="46" width="12.33203125" style="77" customWidth="1"/>
    <col min="47" max="55" width="8.6640625" style="77" customWidth="1"/>
    <col min="56" max="56" width="10.6640625" style="77" customWidth="1"/>
    <col min="57" max="60" width="10.6640625" style="41" customWidth="1"/>
    <col min="61" max="61" width="19.109375" style="217" customWidth="1"/>
    <col min="62" max="62" width="15.33203125" style="29" customWidth="1"/>
    <col min="63" max="63" width="10.6640625" style="455" customWidth="1"/>
    <col min="64" max="67" width="10.6640625" style="456" customWidth="1"/>
    <col min="68" max="68" width="10.6640625" style="68" customWidth="1"/>
    <col min="69" max="69" width="8.88671875" style="23"/>
    <col min="70" max="72" width="8.88671875" style="41"/>
    <col min="73" max="73" width="8.88671875" style="29"/>
    <col min="74" max="78" width="8.88671875" style="41"/>
    <col min="79" max="79" width="8.88671875" style="23"/>
    <col min="80" max="82" width="8.88671875" style="41"/>
    <col min="83" max="83" width="8.88671875" style="29"/>
    <col min="84" max="16384" width="8.88671875" style="41"/>
  </cols>
  <sheetData>
    <row r="1" spans="1:83" ht="55.95" customHeight="1" thickBot="1" x14ac:dyDescent="0.35">
      <c r="E1" s="186"/>
      <c r="F1" s="187"/>
      <c r="G1" s="188"/>
      <c r="H1" s="189"/>
      <c r="I1" s="190"/>
      <c r="J1" s="189"/>
      <c r="K1" s="308"/>
      <c r="L1" s="655" t="s">
        <v>1087</v>
      </c>
      <c r="M1" s="656"/>
      <c r="N1" s="656"/>
      <c r="O1" s="657"/>
      <c r="P1" s="191"/>
      <c r="Q1" s="670" t="s">
        <v>709</v>
      </c>
      <c r="R1" s="671"/>
      <c r="S1" s="671"/>
      <c r="T1" s="671"/>
      <c r="U1" s="671"/>
      <c r="V1" s="671"/>
      <c r="W1" s="671"/>
      <c r="X1" s="671"/>
      <c r="Y1" s="671"/>
      <c r="Z1" s="671"/>
      <c r="AA1" s="671"/>
      <c r="AB1" s="671"/>
      <c r="AC1" s="671"/>
      <c r="AD1" s="671"/>
      <c r="AE1" s="671"/>
      <c r="AF1" s="671"/>
      <c r="AG1" s="671"/>
      <c r="AH1" s="671"/>
      <c r="AI1" s="672" t="s">
        <v>1279</v>
      </c>
      <c r="AJ1" s="672"/>
      <c r="AK1" s="672"/>
      <c r="AL1" s="673"/>
      <c r="AM1" s="674" t="s">
        <v>733</v>
      </c>
      <c r="AN1" s="675"/>
      <c r="AO1" s="675"/>
      <c r="AP1" s="675"/>
      <c r="AQ1" s="675"/>
      <c r="AR1" s="675"/>
      <c r="AS1" s="675"/>
      <c r="AT1" s="675"/>
      <c r="AU1" s="675"/>
      <c r="AV1" s="675"/>
      <c r="AW1" s="675"/>
      <c r="AX1" s="675"/>
      <c r="AY1" s="675"/>
      <c r="AZ1" s="675"/>
      <c r="BA1" s="675"/>
      <c r="BB1" s="675"/>
      <c r="BC1" s="675"/>
      <c r="BD1" s="675"/>
      <c r="BE1" s="672" t="s">
        <v>1278</v>
      </c>
      <c r="BF1" s="672"/>
      <c r="BG1" s="672"/>
      <c r="BH1" s="673"/>
      <c r="BI1" s="212"/>
      <c r="BJ1" s="213"/>
      <c r="BK1" s="661" t="s">
        <v>356</v>
      </c>
      <c r="BL1" s="662"/>
      <c r="BM1" s="662"/>
      <c r="BN1" s="662"/>
      <c r="BO1" s="662"/>
      <c r="BP1" s="663"/>
      <c r="BQ1" s="658" t="s">
        <v>718</v>
      </c>
      <c r="BR1" s="659"/>
      <c r="BS1" s="659"/>
      <c r="BT1" s="659"/>
      <c r="BU1" s="660"/>
      <c r="BV1" s="664" t="s">
        <v>719</v>
      </c>
      <c r="BW1" s="665"/>
      <c r="BX1" s="665"/>
      <c r="BY1" s="665"/>
      <c r="BZ1" s="666"/>
      <c r="CA1" s="667" t="s">
        <v>545</v>
      </c>
      <c r="CB1" s="668"/>
      <c r="CC1" s="668"/>
      <c r="CD1" s="668"/>
      <c r="CE1" s="669"/>
    </row>
    <row r="2" spans="1:83" s="112" customFormat="1" ht="69" customHeight="1" thickBot="1" x14ac:dyDescent="0.35">
      <c r="A2" s="37" t="s">
        <v>0</v>
      </c>
      <c r="B2" s="38" t="s">
        <v>1</v>
      </c>
      <c r="C2" s="170" t="s">
        <v>2</v>
      </c>
      <c r="D2" s="170" t="s">
        <v>3</v>
      </c>
      <c r="E2" s="194" t="s">
        <v>357</v>
      </c>
      <c r="F2" s="171" t="s">
        <v>358</v>
      </c>
      <c r="G2" s="172" t="s">
        <v>161</v>
      </c>
      <c r="H2" s="173" t="s">
        <v>359</v>
      </c>
      <c r="I2" s="174" t="s">
        <v>360</v>
      </c>
      <c r="J2" s="173" t="s">
        <v>1088</v>
      </c>
      <c r="K2" s="173" t="s">
        <v>1089</v>
      </c>
      <c r="L2" s="301" t="s">
        <v>895</v>
      </c>
      <c r="M2" s="301" t="s">
        <v>896</v>
      </c>
      <c r="N2" s="301" t="s">
        <v>897</v>
      </c>
      <c r="O2" s="301" t="s">
        <v>898</v>
      </c>
      <c r="P2" s="195" t="s">
        <v>894</v>
      </c>
      <c r="Q2" s="84" t="s">
        <v>712</v>
      </c>
      <c r="R2" s="2" t="s">
        <v>5</v>
      </c>
      <c r="S2" s="2" t="s">
        <v>6</v>
      </c>
      <c r="T2" s="3" t="s">
        <v>711</v>
      </c>
      <c r="U2" s="3" t="s">
        <v>5</v>
      </c>
      <c r="V2" s="3" t="s">
        <v>6</v>
      </c>
      <c r="W2" s="4" t="s">
        <v>710</v>
      </c>
      <c r="X2" s="4" t="s">
        <v>5</v>
      </c>
      <c r="Y2" s="4" t="s">
        <v>6</v>
      </c>
      <c r="Z2" s="5" t="s">
        <v>9</v>
      </c>
      <c r="AA2" s="5" t="s">
        <v>5</v>
      </c>
      <c r="AB2" s="5" t="s">
        <v>6</v>
      </c>
      <c r="AC2" s="6" t="s">
        <v>731</v>
      </c>
      <c r="AD2" s="6" t="s">
        <v>5</v>
      </c>
      <c r="AE2" s="6" t="s">
        <v>11</v>
      </c>
      <c r="AF2" s="6" t="s">
        <v>732</v>
      </c>
      <c r="AG2" s="6" t="s">
        <v>5</v>
      </c>
      <c r="AH2" s="6" t="s">
        <v>6</v>
      </c>
      <c r="AI2" s="47" t="s">
        <v>71</v>
      </c>
      <c r="AJ2" s="47" t="s">
        <v>368</v>
      </c>
      <c r="AK2" s="47" t="s">
        <v>367</v>
      </c>
      <c r="AL2" s="48" t="s">
        <v>74</v>
      </c>
      <c r="AM2" s="2" t="s">
        <v>712</v>
      </c>
      <c r="AN2" s="2" t="s">
        <v>5</v>
      </c>
      <c r="AO2" s="2" t="s">
        <v>6</v>
      </c>
      <c r="AP2" s="3" t="s">
        <v>711</v>
      </c>
      <c r="AQ2" s="3" t="s">
        <v>5</v>
      </c>
      <c r="AR2" s="3" t="s">
        <v>6</v>
      </c>
      <c r="AS2" s="4" t="s">
        <v>710</v>
      </c>
      <c r="AT2" s="4" t="s">
        <v>5</v>
      </c>
      <c r="AU2" s="4" t="s">
        <v>6</v>
      </c>
      <c r="AV2" s="5" t="s">
        <v>9</v>
      </c>
      <c r="AW2" s="5" t="s">
        <v>5</v>
      </c>
      <c r="AX2" s="5" t="s">
        <v>6</v>
      </c>
      <c r="AY2" s="6" t="s">
        <v>731</v>
      </c>
      <c r="AZ2" s="6" t="s">
        <v>5</v>
      </c>
      <c r="BA2" s="6" t="s">
        <v>11</v>
      </c>
      <c r="BB2" s="6" t="s">
        <v>732</v>
      </c>
      <c r="BC2" s="6" t="s">
        <v>5</v>
      </c>
      <c r="BD2" s="6" t="s">
        <v>6</v>
      </c>
      <c r="BE2" s="42" t="s">
        <v>67</v>
      </c>
      <c r="BF2" s="42" t="s">
        <v>366</v>
      </c>
      <c r="BG2" s="42" t="s">
        <v>367</v>
      </c>
      <c r="BH2" s="43" t="s">
        <v>70</v>
      </c>
      <c r="BI2" s="119" t="s">
        <v>694</v>
      </c>
      <c r="BJ2" s="214" t="s">
        <v>744</v>
      </c>
      <c r="BK2" s="447" t="s">
        <v>361</v>
      </c>
      <c r="BL2" s="448" t="s">
        <v>362</v>
      </c>
      <c r="BM2" s="448" t="s">
        <v>363</v>
      </c>
      <c r="BN2" s="448" t="s">
        <v>364</v>
      </c>
      <c r="BO2" s="448" t="s">
        <v>365</v>
      </c>
      <c r="BP2" s="175" t="s">
        <v>80</v>
      </c>
      <c r="BQ2" s="45" t="s">
        <v>75</v>
      </c>
      <c r="BR2" s="46" t="s">
        <v>76</v>
      </c>
      <c r="BS2" s="46" t="s">
        <v>77</v>
      </c>
      <c r="BT2" s="46" t="s">
        <v>78</v>
      </c>
      <c r="BU2" s="66" t="s">
        <v>79</v>
      </c>
      <c r="BV2" s="46" t="s">
        <v>720</v>
      </c>
      <c r="BW2" s="46" t="s">
        <v>721</v>
      </c>
      <c r="BX2" s="46" t="s">
        <v>722</v>
      </c>
      <c r="BY2" s="46" t="s">
        <v>723</v>
      </c>
      <c r="BZ2" s="46" t="s">
        <v>724</v>
      </c>
      <c r="CA2" s="45" t="s">
        <v>176</v>
      </c>
      <c r="CB2" s="46" t="s">
        <v>177</v>
      </c>
      <c r="CC2" s="46" t="s">
        <v>178</v>
      </c>
      <c r="CD2" s="46" t="s">
        <v>179</v>
      </c>
      <c r="CE2" s="66" t="s">
        <v>180</v>
      </c>
    </row>
    <row r="3" spans="1:83" ht="14.4" customHeight="1" x14ac:dyDescent="0.3">
      <c r="A3" s="86" t="s">
        <v>369</v>
      </c>
      <c r="B3" s="86" t="s">
        <v>423</v>
      </c>
      <c r="C3" s="147" t="s">
        <v>424</v>
      </c>
      <c r="D3" s="147" t="s">
        <v>425</v>
      </c>
      <c r="E3" s="192" t="s">
        <v>186</v>
      </c>
      <c r="F3" s="167" t="s">
        <v>900</v>
      </c>
      <c r="G3" s="168" t="s">
        <v>185</v>
      </c>
      <c r="H3" s="169"/>
      <c r="I3" s="467" t="s">
        <v>267</v>
      </c>
      <c r="J3" s="467" t="s">
        <v>267</v>
      </c>
      <c r="K3" s="467" t="s">
        <v>188</v>
      </c>
      <c r="L3" s="468"/>
      <c r="M3" s="469" t="s">
        <v>267</v>
      </c>
      <c r="N3" s="468"/>
      <c r="O3" s="468"/>
      <c r="P3" s="193">
        <v>1</v>
      </c>
      <c r="Q3" s="178">
        <v>-9.2240711421477783</v>
      </c>
      <c r="R3" s="140">
        <v>-11.944576701112325</v>
      </c>
      <c r="S3" s="140">
        <v>-5.9520949532614083</v>
      </c>
      <c r="T3" s="141">
        <v>-11.698208554297821</v>
      </c>
      <c r="U3" s="141">
        <v>-27.597698622723172</v>
      </c>
      <c r="V3" s="141">
        <v>0.45794254075718754</v>
      </c>
      <c r="W3" s="142">
        <v>-11.261329729565759</v>
      </c>
      <c r="X3" s="142">
        <v>-30.726932886440892</v>
      </c>
      <c r="Y3" s="142">
        <v>12.264842014886256</v>
      </c>
      <c r="Z3" s="143">
        <v>0</v>
      </c>
      <c r="AA3" s="143">
        <v>0</v>
      </c>
      <c r="AB3" s="143">
        <v>0</v>
      </c>
      <c r="AC3" s="144">
        <v>-0.90000000000000568</v>
      </c>
      <c r="AD3" s="144">
        <v>-16.417948717948718</v>
      </c>
      <c r="AE3" s="144">
        <v>9.3170940170940071</v>
      </c>
      <c r="AF3" s="144">
        <v>-5.7000000000000028</v>
      </c>
      <c r="AG3" s="144">
        <v>-23.211233211233207</v>
      </c>
      <c r="AH3" s="144">
        <v>18.762515262515251</v>
      </c>
      <c r="AI3" s="61">
        <v>79.344195879599667</v>
      </c>
      <c r="AJ3" s="61">
        <v>14.911692064626775</v>
      </c>
      <c r="AK3" s="61">
        <v>5.7441120557735603</v>
      </c>
      <c r="AL3" s="27">
        <v>20.655804120400337</v>
      </c>
      <c r="AM3" s="146">
        <v>-7.5543357596092449</v>
      </c>
      <c r="AN3" s="146">
        <v>-9.5432354140318836</v>
      </c>
      <c r="AO3" s="146">
        <v>-5.1418343781325291</v>
      </c>
      <c r="AP3" s="146">
        <v>-9.5939513909232375</v>
      </c>
      <c r="AQ3" s="146">
        <v>-25.387949912545395</v>
      </c>
      <c r="AR3" s="146">
        <v>2.025740476254299</v>
      </c>
      <c r="AS3" s="146">
        <v>-10.260464953482725</v>
      </c>
      <c r="AT3" s="146">
        <v>-29.313004460186733</v>
      </c>
      <c r="AU3" s="146">
        <v>13.56437754954645</v>
      </c>
      <c r="AV3" s="143">
        <v>0</v>
      </c>
      <c r="AW3" s="143">
        <v>0</v>
      </c>
      <c r="AX3" s="143">
        <v>0</v>
      </c>
      <c r="AY3" s="144">
        <v>-0.90000000000000568</v>
      </c>
      <c r="AZ3" s="144">
        <v>-16.417948717948718</v>
      </c>
      <c r="BA3" s="144">
        <v>9.3170940170940071</v>
      </c>
      <c r="BB3" s="144">
        <v>-5.7000000000000028</v>
      </c>
      <c r="BC3" s="144">
        <v>-23.211233211233207</v>
      </c>
      <c r="BD3" s="144">
        <v>18.762515262515251</v>
      </c>
      <c r="BE3" s="59">
        <v>84.226463080004748</v>
      </c>
      <c r="BF3" s="59">
        <v>10.029424864221694</v>
      </c>
      <c r="BG3" s="59">
        <v>5.7441120557735603</v>
      </c>
      <c r="BH3" s="60">
        <v>15.773536919995255</v>
      </c>
      <c r="BI3" s="215" t="s">
        <v>356</v>
      </c>
      <c r="BK3" s="455">
        <v>0.124339475</v>
      </c>
      <c r="BL3" s="456">
        <v>4.8761966149999996</v>
      </c>
      <c r="BM3" s="456">
        <v>10.016954330000001</v>
      </c>
      <c r="BN3" s="456">
        <v>4.8588423770000002</v>
      </c>
      <c r="BO3" s="456">
        <v>0.87812747999999996</v>
      </c>
      <c r="BP3" s="165">
        <f t="shared" ref="BP3:BP34" si="0">100-BK3</f>
        <v>99.875660525000001</v>
      </c>
      <c r="BQ3" s="26">
        <v>8.2474159000000005E-2</v>
      </c>
      <c r="BR3" s="77">
        <v>2.3074994179999999</v>
      </c>
      <c r="BS3" s="77">
        <v>4.7180198850000004</v>
      </c>
      <c r="BT3" s="77">
        <v>2.3283826090000002</v>
      </c>
      <c r="BU3" s="68">
        <v>0.38309903200000001</v>
      </c>
      <c r="BV3" s="77">
        <v>5.5637694000000001E-2</v>
      </c>
      <c r="BW3" s="77">
        <v>9.4783945089999992</v>
      </c>
      <c r="BX3" s="77">
        <v>8.5402350970000001</v>
      </c>
      <c r="BY3" s="77">
        <v>3.458117788</v>
      </c>
      <c r="BZ3" s="77">
        <v>0.42383903099999998</v>
      </c>
      <c r="CA3" s="26">
        <v>0.25221856500000001</v>
      </c>
      <c r="CB3" s="77">
        <v>10.66136129</v>
      </c>
      <c r="CC3" s="77">
        <v>13.17635591</v>
      </c>
      <c r="CD3" s="77">
        <v>6.839730683</v>
      </c>
      <c r="CE3" s="68">
        <v>1.073859823</v>
      </c>
    </row>
    <row r="4" spans="1:83" ht="14.4" customHeight="1" x14ac:dyDescent="0.3">
      <c r="A4" s="86" t="s">
        <v>369</v>
      </c>
      <c r="B4" s="86" t="s">
        <v>389</v>
      </c>
      <c r="C4" s="147" t="s">
        <v>390</v>
      </c>
      <c r="D4" s="147" t="s">
        <v>391</v>
      </c>
      <c r="E4" s="181" t="s">
        <v>186</v>
      </c>
      <c r="F4" s="157" t="s">
        <v>902</v>
      </c>
      <c r="G4" s="158" t="s">
        <v>335</v>
      </c>
      <c r="H4" s="136" t="s">
        <v>201</v>
      </c>
      <c r="I4" s="159"/>
      <c r="J4" s="159" t="s">
        <v>201</v>
      </c>
      <c r="K4" s="159" t="s">
        <v>201</v>
      </c>
      <c r="L4" s="302"/>
      <c r="M4" s="302"/>
      <c r="N4" s="302"/>
      <c r="O4" s="302" t="s">
        <v>201</v>
      </c>
      <c r="P4" s="182">
        <v>2</v>
      </c>
      <c r="Q4" s="178">
        <v>-18.766832832692003</v>
      </c>
      <c r="R4" s="140">
        <v>-26.515447947123192</v>
      </c>
      <c r="S4" s="140">
        <v>-2.4763297899490908</v>
      </c>
      <c r="T4" s="141">
        <v>-37.549219598519002</v>
      </c>
      <c r="U4" s="141">
        <v>-53.495236907825344</v>
      </c>
      <c r="V4" s="141">
        <v>-16.114230611402306</v>
      </c>
      <c r="W4" s="142">
        <v>2.1599734783769975</v>
      </c>
      <c r="X4" s="142">
        <v>-39.435541483749681</v>
      </c>
      <c r="Y4" s="142">
        <v>43.621705639184853</v>
      </c>
      <c r="Z4" s="143">
        <v>0</v>
      </c>
      <c r="AA4" s="143">
        <v>0</v>
      </c>
      <c r="AB4" s="143">
        <v>0</v>
      </c>
      <c r="AC4" s="144">
        <v>9.0999999999999943</v>
      </c>
      <c r="AD4" s="144">
        <v>-13.498599439775916</v>
      </c>
      <c r="AE4" s="144">
        <v>24.597012138188603</v>
      </c>
      <c r="AF4" s="144">
        <v>34</v>
      </c>
      <c r="AG4" s="144">
        <v>-12.926739926739927</v>
      </c>
      <c r="AH4" s="144">
        <v>88.154090354090357</v>
      </c>
      <c r="AI4" s="61">
        <v>37.460295737000003</v>
      </c>
      <c r="AJ4" s="61">
        <v>11.192689793</v>
      </c>
      <c r="AK4" s="61">
        <v>51.347014469999998</v>
      </c>
      <c r="AL4" s="27">
        <v>62.539704262999997</v>
      </c>
      <c r="AM4" s="146">
        <v>-18.278929212367999</v>
      </c>
      <c r="AN4" s="146">
        <v>-24.870729951086716</v>
      </c>
      <c r="AO4" s="146">
        <v>-2.8254090941221364</v>
      </c>
      <c r="AP4" s="146">
        <v>-36.132222913961002</v>
      </c>
      <c r="AQ4" s="146">
        <v>-52.294902114621664</v>
      </c>
      <c r="AR4" s="146">
        <v>-14.66650308415926</v>
      </c>
      <c r="AS4" s="146">
        <v>2.9956381897829942</v>
      </c>
      <c r="AT4" s="146">
        <v>-39.271908143722698</v>
      </c>
      <c r="AU4" s="146">
        <v>45.913327837064827</v>
      </c>
      <c r="AV4" s="143">
        <v>0</v>
      </c>
      <c r="AW4" s="143">
        <v>0</v>
      </c>
      <c r="AX4" s="143">
        <v>0</v>
      </c>
      <c r="AY4" s="144">
        <v>9.0999999999999943</v>
      </c>
      <c r="AZ4" s="144">
        <v>-13.498599439775916</v>
      </c>
      <c r="BA4" s="144">
        <v>24.597012138188603</v>
      </c>
      <c r="BB4" s="144">
        <v>34</v>
      </c>
      <c r="BC4" s="144">
        <v>-12.926739926739927</v>
      </c>
      <c r="BD4" s="144">
        <v>88.154090354090357</v>
      </c>
      <c r="BE4" s="59">
        <v>42.650759783000005</v>
      </c>
      <c r="BF4" s="59">
        <v>6.0022257469999998</v>
      </c>
      <c r="BG4" s="59">
        <v>51.347014469999998</v>
      </c>
      <c r="BH4" s="60">
        <v>57.349240216999995</v>
      </c>
      <c r="BI4" s="215" t="s">
        <v>356</v>
      </c>
      <c r="BK4" s="455">
        <v>0</v>
      </c>
      <c r="BL4" s="456">
        <v>5.1904640459999998</v>
      </c>
      <c r="BM4" s="456">
        <v>6.0022257469999998</v>
      </c>
      <c r="BN4" s="456">
        <v>13.84927766</v>
      </c>
      <c r="BO4" s="456">
        <v>37.497736809999999</v>
      </c>
      <c r="BP4" s="165">
        <f t="shared" si="0"/>
        <v>100</v>
      </c>
      <c r="BQ4" s="26">
        <v>0</v>
      </c>
      <c r="BR4" s="77">
        <v>11.13738478</v>
      </c>
      <c r="BS4" s="77">
        <v>8.8490056119999991</v>
      </c>
      <c r="BT4" s="77">
        <v>10.69318324</v>
      </c>
      <c r="BU4" s="68">
        <v>20.14897058</v>
      </c>
      <c r="BV4" s="77">
        <v>0</v>
      </c>
      <c r="BW4" s="77">
        <v>14.166573120000001</v>
      </c>
      <c r="BX4" s="77">
        <v>11.29452614</v>
      </c>
      <c r="BY4" s="77">
        <v>13.79383797</v>
      </c>
      <c r="BZ4" s="77">
        <v>28.038040110000001</v>
      </c>
      <c r="CA4" s="26">
        <v>0</v>
      </c>
      <c r="CB4" s="77">
        <v>10.465009419999999</v>
      </c>
      <c r="CC4" s="77">
        <v>9.5207462209999996</v>
      </c>
      <c r="CD4" s="77">
        <v>11.30588614</v>
      </c>
      <c r="CE4" s="68">
        <v>16.976060289999999</v>
      </c>
    </row>
    <row r="5" spans="1:83" ht="14.4" customHeight="1" x14ac:dyDescent="0.3">
      <c r="A5" s="86" t="s">
        <v>369</v>
      </c>
      <c r="B5" s="86" t="s">
        <v>386</v>
      </c>
      <c r="C5" s="147" t="s">
        <v>387</v>
      </c>
      <c r="D5" s="147" t="s">
        <v>388</v>
      </c>
      <c r="E5" s="181" t="s">
        <v>186</v>
      </c>
      <c r="F5" s="157" t="s">
        <v>376</v>
      </c>
      <c r="G5" s="158" t="s">
        <v>335</v>
      </c>
      <c r="H5" s="136" t="s">
        <v>227</v>
      </c>
      <c r="I5" s="159"/>
      <c r="J5" s="159" t="s">
        <v>227</v>
      </c>
      <c r="K5" s="159" t="s">
        <v>227</v>
      </c>
      <c r="L5" s="302" t="s">
        <v>201</v>
      </c>
      <c r="M5" s="302" t="s">
        <v>227</v>
      </c>
      <c r="N5" s="302" t="s">
        <v>201</v>
      </c>
      <c r="O5" s="302" t="s">
        <v>201</v>
      </c>
      <c r="P5" s="182">
        <v>3</v>
      </c>
      <c r="Q5" s="178">
        <v>-12.835189789359944</v>
      </c>
      <c r="R5" s="140">
        <v>-14.543942243649639</v>
      </c>
      <c r="S5" s="140">
        <v>-10.064128256020211</v>
      </c>
      <c r="T5" s="141">
        <v>-15.250557632329048</v>
      </c>
      <c r="U5" s="141">
        <v>-36.946686083432894</v>
      </c>
      <c r="V5" s="141">
        <v>0.67644679797562901</v>
      </c>
      <c r="W5" s="142">
        <v>-8.7542320954487138</v>
      </c>
      <c r="X5" s="142">
        <v>-47.255034559223667</v>
      </c>
      <c r="Y5" s="142">
        <v>29.948764715298523</v>
      </c>
      <c r="Z5" s="143">
        <v>0</v>
      </c>
      <c r="AA5" s="143">
        <v>0</v>
      </c>
      <c r="AB5" s="143">
        <v>0</v>
      </c>
      <c r="AC5" s="144">
        <v>1.7000000000000028</v>
      </c>
      <c r="AD5" s="144">
        <v>-22.12222222222222</v>
      </c>
      <c r="AE5" s="144">
        <v>16.022222222222226</v>
      </c>
      <c r="AF5" s="144">
        <v>2.7999999999999972</v>
      </c>
      <c r="AG5" s="144">
        <v>-38.293015873015875</v>
      </c>
      <c r="AH5" s="144">
        <v>42.748253968253948</v>
      </c>
      <c r="AI5" s="61">
        <v>75.392459548255204</v>
      </c>
      <c r="AJ5" s="61">
        <v>10.78495237627755</v>
      </c>
      <c r="AK5" s="61">
        <v>13.822588075467248</v>
      </c>
      <c r="AL5" s="27">
        <v>24.607540451744796</v>
      </c>
      <c r="AM5" s="146">
        <v>-12.032224261230212</v>
      </c>
      <c r="AN5" s="146">
        <v>-13.379931897965477</v>
      </c>
      <c r="AO5" s="146">
        <v>-9.6927016619404753</v>
      </c>
      <c r="AP5" s="146">
        <v>-14.111806519708693</v>
      </c>
      <c r="AQ5" s="146">
        <v>-35.820838035922591</v>
      </c>
      <c r="AR5" s="146">
        <v>1.6653758981150446</v>
      </c>
      <c r="AS5" s="146">
        <v>-8.0885006757629867</v>
      </c>
      <c r="AT5" s="146">
        <v>-46.735745370375312</v>
      </c>
      <c r="AU5" s="146">
        <v>30.864329736681782</v>
      </c>
      <c r="AV5" s="143">
        <v>0</v>
      </c>
      <c r="AW5" s="143">
        <v>0</v>
      </c>
      <c r="AX5" s="143">
        <v>0</v>
      </c>
      <c r="AY5" s="144">
        <v>1.7000000000000028</v>
      </c>
      <c r="AZ5" s="144">
        <v>-22.12222222222222</v>
      </c>
      <c r="BA5" s="144">
        <v>16.022222222222226</v>
      </c>
      <c r="BB5" s="144">
        <v>2.7999999999999972</v>
      </c>
      <c r="BC5" s="144">
        <v>-38.293015873015875</v>
      </c>
      <c r="BD5" s="144">
        <v>42.748253968253948</v>
      </c>
      <c r="BE5" s="59">
        <v>78.312334195999711</v>
      </c>
      <c r="BF5" s="59">
        <v>7.8650777285330307</v>
      </c>
      <c r="BG5" s="59">
        <v>13.822588075467248</v>
      </c>
      <c r="BH5" s="60">
        <v>21.687665804000279</v>
      </c>
      <c r="BI5" s="215" t="s">
        <v>356</v>
      </c>
      <c r="BK5" s="457">
        <v>0</v>
      </c>
      <c r="BL5" s="458">
        <f>0.0291987464774452*100</f>
        <v>2.9198746477445199</v>
      </c>
      <c r="BM5" s="458">
        <f>0.0786507772853303*100</f>
        <v>7.8650777285330307</v>
      </c>
      <c r="BN5" s="458">
        <f>0.126430448762483*100</f>
        <v>12.6430448762483</v>
      </c>
      <c r="BO5" s="458">
        <f>0.0117954319921895*100</f>
        <v>1.17954319921895</v>
      </c>
      <c r="BP5" s="165">
        <f t="shared" si="0"/>
        <v>100</v>
      </c>
      <c r="BQ5" s="26"/>
      <c r="BR5" s="77"/>
      <c r="BS5" s="77"/>
      <c r="BT5" s="77"/>
      <c r="BU5" s="68"/>
      <c r="BV5" s="77">
        <v>0</v>
      </c>
      <c r="BW5" s="77">
        <v>1.4198545440000001</v>
      </c>
      <c r="BX5" s="77">
        <v>3.2647168600000001</v>
      </c>
      <c r="BY5" s="77">
        <v>6.6516546669999999</v>
      </c>
      <c r="BZ5" s="77">
        <v>0.117023134</v>
      </c>
      <c r="CA5" s="26" t="s">
        <v>220</v>
      </c>
      <c r="CB5" s="77" t="s">
        <v>220</v>
      </c>
      <c r="CC5" s="77" t="s">
        <v>220</v>
      </c>
      <c r="CD5" s="77" t="s">
        <v>220</v>
      </c>
      <c r="CE5" s="68" t="s">
        <v>220</v>
      </c>
    </row>
    <row r="6" spans="1:83" ht="14.4" customHeight="1" x14ac:dyDescent="0.3">
      <c r="A6" s="41" t="s">
        <v>369</v>
      </c>
      <c r="B6" s="41" t="s">
        <v>373</v>
      </c>
      <c r="C6" s="146" t="s">
        <v>374</v>
      </c>
      <c r="D6" s="146" t="s">
        <v>375</v>
      </c>
      <c r="E6" s="181" t="s">
        <v>186</v>
      </c>
      <c r="F6" s="157" t="s">
        <v>376</v>
      </c>
      <c r="G6" s="158" t="s">
        <v>185</v>
      </c>
      <c r="H6" s="136" t="s">
        <v>227</v>
      </c>
      <c r="I6" s="156" t="s">
        <v>227</v>
      </c>
      <c r="J6" s="156" t="s">
        <v>227</v>
      </c>
      <c r="K6" s="156" t="s">
        <v>227</v>
      </c>
      <c r="L6" s="303" t="s">
        <v>227</v>
      </c>
      <c r="M6" s="303"/>
      <c r="N6" s="303" t="s">
        <v>201</v>
      </c>
      <c r="O6" s="303" t="s">
        <v>187</v>
      </c>
      <c r="P6" s="182">
        <v>4</v>
      </c>
      <c r="Q6" s="178">
        <v>-5.2644302715246454</v>
      </c>
      <c r="R6" s="140">
        <v>-8.334450186845487</v>
      </c>
      <c r="S6" s="140">
        <v>-1.5514386151963038</v>
      </c>
      <c r="T6" s="141">
        <v>-13.569603402971197</v>
      </c>
      <c r="U6" s="141">
        <v>-33.452644848360208</v>
      </c>
      <c r="V6" s="141">
        <v>0.62097570310356787</v>
      </c>
      <c r="W6" s="142">
        <v>-24.238092094470247</v>
      </c>
      <c r="X6" s="142">
        <v>-60.899489527525233</v>
      </c>
      <c r="Y6" s="142">
        <v>2.5338796746239183</v>
      </c>
      <c r="Z6" s="143">
        <v>0</v>
      </c>
      <c r="AA6" s="143">
        <v>0</v>
      </c>
      <c r="AB6" s="143">
        <v>0</v>
      </c>
      <c r="AC6" s="144">
        <v>-2.2000000000000028</v>
      </c>
      <c r="AD6" s="144">
        <v>-23.363742690058473</v>
      </c>
      <c r="AE6" s="144">
        <v>10.008383704358934</v>
      </c>
      <c r="AF6" s="144">
        <v>-19.599999999999994</v>
      </c>
      <c r="AG6" s="144">
        <v>-58.406593406593402</v>
      </c>
      <c r="AH6" s="144">
        <v>7.0393162393162498</v>
      </c>
      <c r="AI6" s="61">
        <v>78.888468500994918</v>
      </c>
      <c r="AJ6" s="61">
        <v>12.192837572851891</v>
      </c>
      <c r="AK6" s="61">
        <v>8.9186939261531961</v>
      </c>
      <c r="AL6" s="27">
        <v>21.111531499005089</v>
      </c>
      <c r="AM6" s="146">
        <v>-4.6669105752227011</v>
      </c>
      <c r="AN6" s="146">
        <v>-6.8800478491434802</v>
      </c>
      <c r="AO6" s="146">
        <v>-1.7331021126067867</v>
      </c>
      <c r="AP6" s="146">
        <v>-12.079634416679795</v>
      </c>
      <c r="AQ6" s="146">
        <v>-32.084402436876672</v>
      </c>
      <c r="AR6" s="146">
        <v>1.6126639517649295</v>
      </c>
      <c r="AS6" s="146">
        <v>-23.59077909014313</v>
      </c>
      <c r="AT6" s="146">
        <v>-60.747373707404407</v>
      </c>
      <c r="AU6" s="146">
        <v>3.0729119932455262</v>
      </c>
      <c r="AV6" s="143">
        <v>0</v>
      </c>
      <c r="AW6" s="143">
        <v>0</v>
      </c>
      <c r="AX6" s="143">
        <v>0</v>
      </c>
      <c r="AY6" s="144">
        <v>-2.2000000000000028</v>
      </c>
      <c r="AZ6" s="144">
        <v>-23.363742690058473</v>
      </c>
      <c r="BA6" s="144">
        <v>10.008383704358934</v>
      </c>
      <c r="BB6" s="144">
        <v>-19.599999999999994</v>
      </c>
      <c r="BC6" s="144">
        <v>-58.406593406593402</v>
      </c>
      <c r="BD6" s="144">
        <v>7.0393162393162498</v>
      </c>
      <c r="BE6" s="59">
        <v>82.718722964468967</v>
      </c>
      <c r="BF6" s="59">
        <v>8.3625831093778427</v>
      </c>
      <c r="BG6" s="59">
        <v>8.9186939261531961</v>
      </c>
      <c r="BH6" s="60">
        <v>17.281277035531041</v>
      </c>
      <c r="BI6" s="215" t="s">
        <v>356</v>
      </c>
      <c r="BK6" s="455">
        <v>0.15883071300000001</v>
      </c>
      <c r="BL6" s="456">
        <v>3.8241708430000001</v>
      </c>
      <c r="BM6" s="456">
        <v>8.3493007590000001</v>
      </c>
      <c r="BN6" s="456">
        <v>6.7512130240000001</v>
      </c>
      <c r="BO6" s="456">
        <v>2.1533152769999999</v>
      </c>
      <c r="BP6" s="165">
        <f t="shared" si="0"/>
        <v>99.841169287</v>
      </c>
      <c r="BQ6" s="26">
        <v>0.18140294500000001</v>
      </c>
      <c r="BR6" s="77">
        <v>2.0293885170000001</v>
      </c>
      <c r="BS6" s="77">
        <v>4.2364566379999999</v>
      </c>
      <c r="BT6" s="77">
        <v>3.3324430770000002</v>
      </c>
      <c r="BU6" s="68">
        <v>1.0446781119999999</v>
      </c>
      <c r="BV6" s="77">
        <v>0.38211693800000002</v>
      </c>
      <c r="BW6" s="77">
        <v>2.39650732</v>
      </c>
      <c r="BX6" s="77">
        <v>4.7644349950000002</v>
      </c>
      <c r="BY6" s="77">
        <v>3.4844366199999999</v>
      </c>
      <c r="BZ6" s="77">
        <v>0.68548637099999998</v>
      </c>
      <c r="CA6" s="26">
        <v>0.71763096900000001</v>
      </c>
      <c r="CB6" s="77">
        <v>2.6212505660000001</v>
      </c>
      <c r="CC6" s="77">
        <v>5.3689297759999999</v>
      </c>
      <c r="CD6" s="77">
        <v>3.7659465000000001</v>
      </c>
      <c r="CE6" s="68">
        <v>1.0353956230000001</v>
      </c>
    </row>
    <row r="7" spans="1:83" ht="14.4" customHeight="1" x14ac:dyDescent="0.3">
      <c r="A7" s="86" t="s">
        <v>369</v>
      </c>
      <c r="B7" s="86" t="s">
        <v>392</v>
      </c>
      <c r="C7" s="147" t="s">
        <v>396</v>
      </c>
      <c r="D7" s="147" t="s">
        <v>397</v>
      </c>
      <c r="E7" s="181" t="s">
        <v>186</v>
      </c>
      <c r="F7" s="157" t="s">
        <v>395</v>
      </c>
      <c r="G7" s="158" t="s">
        <v>185</v>
      </c>
      <c r="H7" s="136" t="s">
        <v>201</v>
      </c>
      <c r="I7" s="159" t="s">
        <v>201</v>
      </c>
      <c r="J7" s="159" t="s">
        <v>201</v>
      </c>
      <c r="K7" s="159" t="s">
        <v>201</v>
      </c>
      <c r="L7" s="302"/>
      <c r="M7" s="302" t="s">
        <v>201</v>
      </c>
      <c r="N7" s="302"/>
      <c r="O7" s="302"/>
      <c r="P7" s="182">
        <v>5</v>
      </c>
      <c r="Q7" s="178">
        <v>-27.753660349038583</v>
      </c>
      <c r="R7" s="140">
        <v>-36.62291977342332</v>
      </c>
      <c r="S7" s="140">
        <v>-16.42636699404882</v>
      </c>
      <c r="T7" s="141">
        <v>-33.980162342891248</v>
      </c>
      <c r="U7" s="141">
        <v>-53.868200436394226</v>
      </c>
      <c r="V7" s="141">
        <v>-13.992776252093122</v>
      </c>
      <c r="W7" s="142">
        <v>-35.875949661454911</v>
      </c>
      <c r="X7" s="142">
        <v>-63.37743827905625</v>
      </c>
      <c r="Y7" s="142">
        <v>-9.8692229578959996</v>
      </c>
      <c r="Z7" s="143">
        <v>0</v>
      </c>
      <c r="AA7" s="143">
        <v>0</v>
      </c>
      <c r="AB7" s="143">
        <v>0</v>
      </c>
      <c r="AC7" s="144">
        <v>-4.4000000000000057</v>
      </c>
      <c r="AD7" s="144">
        <v>-24.49111111111111</v>
      </c>
      <c r="AE7" s="144">
        <v>5.2088888888888789</v>
      </c>
      <c r="AF7" s="144">
        <v>-18.599999999999994</v>
      </c>
      <c r="AG7" s="144">
        <v>-50.290476190476184</v>
      </c>
      <c r="AH7" s="144">
        <v>0.25555555555555998</v>
      </c>
      <c r="AI7" s="61">
        <v>38.494296155143125</v>
      </c>
      <c r="AJ7" s="61">
        <v>42.836582351819871</v>
      </c>
      <c r="AK7" s="61">
        <v>18.669121493037004</v>
      </c>
      <c r="AL7" s="27">
        <v>61.505703844856875</v>
      </c>
      <c r="AM7" s="146">
        <v>-20.279835952368131</v>
      </c>
      <c r="AN7" s="146">
        <v>-26.052968628760212</v>
      </c>
      <c r="AO7" s="146">
        <v>-13.379412405647756</v>
      </c>
      <c r="AP7" s="146">
        <v>-25.856440172597274</v>
      </c>
      <c r="AQ7" s="146">
        <v>-45.713049347312328</v>
      </c>
      <c r="AR7" s="146">
        <v>-9.9590086315519812</v>
      </c>
      <c r="AS7" s="146">
        <v>-31.434981541694214</v>
      </c>
      <c r="AT7" s="146">
        <v>-60.593193690151686</v>
      </c>
      <c r="AU7" s="146">
        <v>-7.946694676240412</v>
      </c>
      <c r="AV7" s="143">
        <v>0</v>
      </c>
      <c r="AW7" s="143">
        <v>0</v>
      </c>
      <c r="AX7" s="143">
        <v>0</v>
      </c>
      <c r="AY7" s="144">
        <v>-4.4000000000000057</v>
      </c>
      <c r="AZ7" s="144">
        <v>-24.49111111111111</v>
      </c>
      <c r="BA7" s="144">
        <v>5.2088888888888789</v>
      </c>
      <c r="BB7" s="144">
        <v>-18.599999999999994</v>
      </c>
      <c r="BC7" s="144">
        <v>-50.290476190476184</v>
      </c>
      <c r="BD7" s="144">
        <v>0.25555555555555998</v>
      </c>
      <c r="BE7" s="59">
        <v>60.157555275927017</v>
      </c>
      <c r="BF7" s="59">
        <v>21.173323231035976</v>
      </c>
      <c r="BG7" s="59">
        <v>18.669121493037004</v>
      </c>
      <c r="BH7" s="60">
        <v>39.842444724072976</v>
      </c>
      <c r="BI7" s="215" t="s">
        <v>356</v>
      </c>
      <c r="BK7" s="455">
        <v>0.59598608900000005</v>
      </c>
      <c r="BL7" s="456">
        <v>21.534149110000001</v>
      </c>
      <c r="BM7" s="456">
        <v>21.047133169999999</v>
      </c>
      <c r="BN7" s="456">
        <v>16.148079549999999</v>
      </c>
      <c r="BO7" s="456">
        <v>2.4097765760000001</v>
      </c>
      <c r="BP7" s="165">
        <f t="shared" si="0"/>
        <v>99.404013911000007</v>
      </c>
      <c r="BQ7" s="26">
        <v>1.4368266869999999</v>
      </c>
      <c r="BR7" s="77">
        <v>20.403700669999999</v>
      </c>
      <c r="BS7" s="77">
        <v>20.602373610000001</v>
      </c>
      <c r="BT7" s="77">
        <v>15.743414919999999</v>
      </c>
      <c r="BU7" s="68">
        <v>2.2650782860000001</v>
      </c>
      <c r="BV7" s="77">
        <v>9.5828376000000007E-2</v>
      </c>
      <c r="BW7" s="77">
        <v>24.083828990000001</v>
      </c>
      <c r="BX7" s="77">
        <v>14.18028539</v>
      </c>
      <c r="BY7" s="77">
        <v>9.0870144340000003</v>
      </c>
      <c r="BZ7" s="77">
        <v>1.1077096980000001</v>
      </c>
      <c r="CA7" s="26">
        <v>0.65280777700000003</v>
      </c>
      <c r="CB7" s="77">
        <v>16.403925739999998</v>
      </c>
      <c r="CC7" s="77">
        <v>23.362886280000001</v>
      </c>
      <c r="CD7" s="77">
        <v>13.96941955</v>
      </c>
      <c r="CE7" s="68">
        <v>1.799111559</v>
      </c>
    </row>
    <row r="8" spans="1:83" ht="14.4" customHeight="1" x14ac:dyDescent="0.3">
      <c r="A8" s="297" t="s">
        <v>369</v>
      </c>
      <c r="B8" s="297" t="s">
        <v>392</v>
      </c>
      <c r="C8" s="297" t="s">
        <v>393</v>
      </c>
      <c r="D8" s="297" t="s">
        <v>394</v>
      </c>
      <c r="E8" s="181" t="s">
        <v>186</v>
      </c>
      <c r="F8" s="157" t="s">
        <v>395</v>
      </c>
      <c r="G8" s="158" t="s">
        <v>335</v>
      </c>
      <c r="H8" s="136" t="s">
        <v>201</v>
      </c>
      <c r="I8" s="159"/>
      <c r="J8" s="159" t="s">
        <v>201</v>
      </c>
      <c r="K8" s="159" t="s">
        <v>201</v>
      </c>
      <c r="L8" s="302"/>
      <c r="M8" s="307" t="s">
        <v>201</v>
      </c>
      <c r="N8" s="302"/>
      <c r="O8" s="302"/>
      <c r="P8" s="182">
        <v>5.0999999999999996</v>
      </c>
      <c r="Q8" s="178">
        <v>-27.203342699510827</v>
      </c>
      <c r="R8" s="140">
        <v>-36.019589050996586</v>
      </c>
      <c r="S8" s="140">
        <v>-15.861701412255485</v>
      </c>
      <c r="T8" s="141">
        <v>-33.421061346389322</v>
      </c>
      <c r="U8" s="141">
        <v>-53.32807487051263</v>
      </c>
      <c r="V8" s="141">
        <v>-13.414646477918666</v>
      </c>
      <c r="W8" s="142">
        <v>-35.496711398800599</v>
      </c>
      <c r="X8" s="142">
        <v>-62.989490404256088</v>
      </c>
      <c r="Y8" s="142">
        <v>-9.5288969229862346</v>
      </c>
      <c r="Z8" s="143">
        <v>0</v>
      </c>
      <c r="AA8" s="143">
        <v>0</v>
      </c>
      <c r="AB8" s="143">
        <v>0</v>
      </c>
      <c r="AC8" s="144">
        <v>-4.4000000000000057</v>
      </c>
      <c r="AD8" s="144">
        <v>-24.49111111111111</v>
      </c>
      <c r="AE8" s="144">
        <v>5.2088888888888789</v>
      </c>
      <c r="AF8" s="144">
        <v>-18.599999999999994</v>
      </c>
      <c r="AG8" s="144">
        <v>-50.290476190476184</v>
      </c>
      <c r="AH8" s="144">
        <v>0.25555555555555998</v>
      </c>
      <c r="AI8" s="61">
        <v>38.82850446224171</v>
      </c>
      <c r="AJ8" s="61">
        <v>43.745276283517704</v>
      </c>
      <c r="AK8" s="61">
        <v>17.426219254240589</v>
      </c>
      <c r="AL8" s="27">
        <v>61.17149553775829</v>
      </c>
      <c r="AM8" s="146">
        <v>-19.603926367215664</v>
      </c>
      <c r="AN8" s="146">
        <v>-25.272017915113423</v>
      </c>
      <c r="AO8" s="146">
        <v>-12.763545069008757</v>
      </c>
      <c r="AP8" s="146">
        <v>-25.160826202590243</v>
      </c>
      <c r="AQ8" s="146">
        <v>-45.035882668845048</v>
      </c>
      <c r="AR8" s="146">
        <v>-9.3130944599343906</v>
      </c>
      <c r="AS8" s="146">
        <v>-30.981116186857093</v>
      </c>
      <c r="AT8" s="146">
        <v>-60.158458702273393</v>
      </c>
      <c r="AU8" s="146">
        <v>-7.5740620155161622</v>
      </c>
      <c r="AV8" s="143">
        <v>0</v>
      </c>
      <c r="AW8" s="143">
        <v>0</v>
      </c>
      <c r="AX8" s="143">
        <v>0</v>
      </c>
      <c r="AY8" s="144">
        <v>-4.4000000000000057</v>
      </c>
      <c r="AZ8" s="144">
        <v>-24.49111111111111</v>
      </c>
      <c r="BA8" s="144">
        <v>5.2088888888888789</v>
      </c>
      <c r="BB8" s="144">
        <v>-18.599999999999994</v>
      </c>
      <c r="BC8" s="144">
        <v>-50.290476190476184</v>
      </c>
      <c r="BD8" s="144">
        <v>0.25555555555555998</v>
      </c>
      <c r="BE8" s="59">
        <v>60.855798179039283</v>
      </c>
      <c r="BF8" s="59">
        <v>21.717982566720128</v>
      </c>
      <c r="BG8" s="59">
        <v>17.426219254240589</v>
      </c>
      <c r="BH8" s="60">
        <v>39.144201820960717</v>
      </c>
      <c r="BI8" s="215" t="s">
        <v>356</v>
      </c>
      <c r="BK8" s="455">
        <v>0.69637000699999996</v>
      </c>
      <c r="BL8" s="456">
        <v>21.87390225</v>
      </c>
      <c r="BM8" s="456">
        <v>21.566745050000002</v>
      </c>
      <c r="BN8" s="456">
        <v>15.17760887</v>
      </c>
      <c r="BO8" s="456">
        <v>2.1272594200000001</v>
      </c>
      <c r="BP8" s="165">
        <f t="shared" si="0"/>
        <v>99.303629993000001</v>
      </c>
      <c r="BQ8" s="26">
        <v>1.674521398</v>
      </c>
      <c r="BR8" s="77">
        <v>20.681556440000001</v>
      </c>
      <c r="BS8" s="77">
        <v>21.090780890000001</v>
      </c>
      <c r="BT8" s="77">
        <v>14.704880989999999</v>
      </c>
      <c r="BU8" s="68">
        <v>1.9994388160000001</v>
      </c>
      <c r="BV8" s="77">
        <v>0.12689847600000001</v>
      </c>
      <c r="BW8" s="77">
        <v>29.198775479999998</v>
      </c>
      <c r="BX8" s="77">
        <v>14.73551707</v>
      </c>
      <c r="BY8" s="77">
        <v>6.3168703659999998</v>
      </c>
      <c r="BZ8" s="77">
        <v>0.501051095</v>
      </c>
      <c r="CA8" s="26" t="s">
        <v>220</v>
      </c>
      <c r="CB8" s="77" t="s">
        <v>220</v>
      </c>
      <c r="CC8" s="77" t="s">
        <v>220</v>
      </c>
      <c r="CD8" s="77" t="s">
        <v>220</v>
      </c>
      <c r="CE8" s="68" t="s">
        <v>220</v>
      </c>
    </row>
    <row r="9" spans="1:83" ht="14.4" customHeight="1" x14ac:dyDescent="0.3">
      <c r="A9" s="297" t="s">
        <v>369</v>
      </c>
      <c r="B9" s="297" t="s">
        <v>392</v>
      </c>
      <c r="C9" s="297" t="s">
        <v>398</v>
      </c>
      <c r="D9" s="297" t="s">
        <v>399</v>
      </c>
      <c r="E9" s="181" t="s">
        <v>186</v>
      </c>
      <c r="F9" s="157" t="s">
        <v>395</v>
      </c>
      <c r="G9" s="158" t="s">
        <v>335</v>
      </c>
      <c r="H9" s="136" t="s">
        <v>201</v>
      </c>
      <c r="I9" s="159"/>
      <c r="J9" s="159" t="s">
        <v>201</v>
      </c>
      <c r="K9" s="159" t="s">
        <v>201</v>
      </c>
      <c r="L9" s="302"/>
      <c r="M9" s="307" t="s">
        <v>201</v>
      </c>
      <c r="N9" s="302"/>
      <c r="O9" s="302"/>
      <c r="P9" s="182">
        <v>5.2</v>
      </c>
      <c r="Q9" s="178">
        <v>-30.599284388887341</v>
      </c>
      <c r="R9" s="140">
        <v>-39.699427933957296</v>
      </c>
      <c r="S9" s="140">
        <v>-19.430285729455562</v>
      </c>
      <c r="T9" s="141">
        <v>-36.861548234174194</v>
      </c>
      <c r="U9" s="141">
        <v>-56.646205279012044</v>
      </c>
      <c r="V9" s="141">
        <v>-17.051686745227443</v>
      </c>
      <c r="W9" s="142">
        <v>-37.849853431048189</v>
      </c>
      <c r="X9" s="142">
        <v>-65.428678859731164</v>
      </c>
      <c r="Y9" s="142">
        <v>-11.678128779372472</v>
      </c>
      <c r="Z9" s="143">
        <v>0</v>
      </c>
      <c r="AA9" s="143">
        <v>0</v>
      </c>
      <c r="AB9" s="143">
        <v>0</v>
      </c>
      <c r="AC9" s="144">
        <v>-4.4000000000000057</v>
      </c>
      <c r="AD9" s="144">
        <v>-24.49111111111111</v>
      </c>
      <c r="AE9" s="144">
        <v>5.2088888888888789</v>
      </c>
      <c r="AF9" s="144">
        <v>-18.599999999999994</v>
      </c>
      <c r="AG9" s="144">
        <v>-50.290476190476184</v>
      </c>
      <c r="AH9" s="144">
        <v>0.25555555555555998</v>
      </c>
      <c r="AI9" s="61">
        <v>37.077765768622832</v>
      </c>
      <c r="AJ9" s="61">
        <v>37.519052576913687</v>
      </c>
      <c r="AK9" s="61">
        <v>25.403181654463481</v>
      </c>
      <c r="AL9" s="27">
        <v>62.922234231377168</v>
      </c>
      <c r="AM9" s="146">
        <v>-23.855770155657353</v>
      </c>
      <c r="AN9" s="146">
        <v>-30.162327220119863</v>
      </c>
      <c r="AO9" s="146">
        <v>-16.681066515254926</v>
      </c>
      <c r="AP9" s="146">
        <v>-29.531641458924213</v>
      </c>
      <c r="AQ9" s="146">
        <v>-49.28794068453422</v>
      </c>
      <c r="AR9" s="146">
        <v>-13.412081648969135</v>
      </c>
      <c r="AS9" s="146">
        <v>-33.842837727244856</v>
      </c>
      <c r="AT9" s="146">
        <v>-62.916498747172476</v>
      </c>
      <c r="AU9" s="146">
        <v>-9.9434617410477131</v>
      </c>
      <c r="AV9" s="143">
        <v>0</v>
      </c>
      <c r="AW9" s="143">
        <v>0</v>
      </c>
      <c r="AX9" s="143">
        <v>0</v>
      </c>
      <c r="AY9" s="144">
        <v>-4.4000000000000057</v>
      </c>
      <c r="AZ9" s="144">
        <v>-24.49111111111111</v>
      </c>
      <c r="BA9" s="144">
        <v>5.2088888888888789</v>
      </c>
      <c r="BB9" s="144">
        <v>-18.599999999999994</v>
      </c>
      <c r="BC9" s="144">
        <v>-50.290476190476184</v>
      </c>
      <c r="BD9" s="144">
        <v>0.25555555555555998</v>
      </c>
      <c r="BE9" s="59">
        <v>56.624183835956131</v>
      </c>
      <c r="BF9" s="59">
        <v>17.972634509580381</v>
      </c>
      <c r="BG9" s="59">
        <v>25.403181654463481</v>
      </c>
      <c r="BH9" s="60">
        <v>43.375816164043862</v>
      </c>
      <c r="BI9" s="215" t="s">
        <v>356</v>
      </c>
      <c r="BK9" s="455">
        <v>2.6795790999999999E-2</v>
      </c>
      <c r="BL9" s="456">
        <v>19.541180449999999</v>
      </c>
      <c r="BM9" s="456">
        <v>17.967818600000001</v>
      </c>
      <c r="BN9" s="456">
        <v>21.38468786</v>
      </c>
      <c r="BO9" s="456">
        <v>4.0116868109999997</v>
      </c>
      <c r="BP9" s="165">
        <f t="shared" si="0"/>
        <v>99.973204209000002</v>
      </c>
      <c r="BQ9" s="26">
        <v>2.5610926999999999E-2</v>
      </c>
      <c r="BR9" s="77">
        <v>18.690463780000002</v>
      </c>
      <c r="BS9" s="77">
        <v>17.596685239999999</v>
      </c>
      <c r="BT9" s="77">
        <v>21.252282529999999</v>
      </c>
      <c r="BU9" s="68">
        <v>3.8422046980000002</v>
      </c>
      <c r="BV9" s="77">
        <v>1.7549334999999999E-2</v>
      </c>
      <c r="BW9" s="77">
        <v>11.19706334</v>
      </c>
      <c r="BX9" s="77">
        <v>12.781416289999999</v>
      </c>
      <c r="BY9" s="77">
        <v>16.066207179999999</v>
      </c>
      <c r="BZ9" s="77">
        <v>2.6361454819999999</v>
      </c>
      <c r="CA9" s="26" t="s">
        <v>220</v>
      </c>
      <c r="CB9" s="77" t="s">
        <v>220</v>
      </c>
      <c r="CC9" s="77" t="s">
        <v>220</v>
      </c>
      <c r="CD9" s="77" t="s">
        <v>220</v>
      </c>
      <c r="CE9" s="68" t="s">
        <v>220</v>
      </c>
    </row>
    <row r="10" spans="1:83" ht="14.4" customHeight="1" x14ac:dyDescent="0.3">
      <c r="A10" s="41" t="s">
        <v>369</v>
      </c>
      <c r="B10" s="41" t="s">
        <v>370</v>
      </c>
      <c r="C10" s="146" t="s">
        <v>377</v>
      </c>
      <c r="D10" s="146" t="s">
        <v>378</v>
      </c>
      <c r="E10" s="181" t="s">
        <v>186</v>
      </c>
      <c r="F10" s="157" t="s">
        <v>903</v>
      </c>
      <c r="G10" s="158" t="s">
        <v>185</v>
      </c>
      <c r="H10" s="136" t="s">
        <v>201</v>
      </c>
      <c r="I10" s="156" t="s">
        <v>201</v>
      </c>
      <c r="J10" s="156" t="s">
        <v>201</v>
      </c>
      <c r="K10" s="156" t="s">
        <v>267</v>
      </c>
      <c r="L10" s="303"/>
      <c r="M10" s="303" t="s">
        <v>201</v>
      </c>
      <c r="N10" s="303"/>
      <c r="O10" s="303"/>
      <c r="P10" s="182">
        <v>6</v>
      </c>
      <c r="Q10" s="178">
        <v>-7.8660928531681833</v>
      </c>
      <c r="R10" s="140">
        <v>-10.053471188245723</v>
      </c>
      <c r="S10" s="140">
        <v>-5.2536122794297597</v>
      </c>
      <c r="T10" s="141">
        <v>-9.4092890219675525</v>
      </c>
      <c r="U10" s="141">
        <v>-26.901242062098717</v>
      </c>
      <c r="V10" s="141">
        <v>1.5477317438383693</v>
      </c>
      <c r="W10" s="142">
        <v>-3.3422872798289802</v>
      </c>
      <c r="X10" s="142">
        <v>-32.434028716906298</v>
      </c>
      <c r="Y10" s="142">
        <v>18.164703248412152</v>
      </c>
      <c r="Z10" s="143">
        <v>0</v>
      </c>
      <c r="AA10" s="143">
        <v>0</v>
      </c>
      <c r="AB10" s="143">
        <v>0</v>
      </c>
      <c r="AC10" s="144">
        <v>0.29999999999999716</v>
      </c>
      <c r="AD10" s="144">
        <v>-17.768888888888895</v>
      </c>
      <c r="AE10" s="144">
        <v>8.764444444444436</v>
      </c>
      <c r="AF10" s="144">
        <v>0.59999999999999432</v>
      </c>
      <c r="AG10" s="144">
        <v>-27.642857142857153</v>
      </c>
      <c r="AH10" s="144">
        <v>19.857142857142847</v>
      </c>
      <c r="AI10" s="61">
        <v>80.405532853066362</v>
      </c>
      <c r="AJ10" s="61">
        <v>13.376887939420246</v>
      </c>
      <c r="AK10" s="61">
        <v>6.2175792075133964</v>
      </c>
      <c r="AL10" s="27">
        <v>19.594467146933642</v>
      </c>
      <c r="AM10" s="146">
        <v>-6.567314278669599</v>
      </c>
      <c r="AN10" s="146">
        <v>-8.1696873976495112</v>
      </c>
      <c r="AO10" s="146">
        <v>-4.6581643005922899</v>
      </c>
      <c r="AP10" s="146">
        <v>-7.6106032225676472</v>
      </c>
      <c r="AQ10" s="146">
        <v>-25.225844929057928</v>
      </c>
      <c r="AR10" s="146">
        <v>2.6574542122125848</v>
      </c>
      <c r="AS10" s="146">
        <v>-2.8227758500295579</v>
      </c>
      <c r="AT10" s="146">
        <v>-31.761543450168546</v>
      </c>
      <c r="AU10" s="146">
        <v>18.073109243476182</v>
      </c>
      <c r="AV10" s="143">
        <v>0</v>
      </c>
      <c r="AW10" s="143">
        <v>0</v>
      </c>
      <c r="AX10" s="143">
        <v>0</v>
      </c>
      <c r="AY10" s="144">
        <v>0.29999999999999716</v>
      </c>
      <c r="AZ10" s="144">
        <v>-17.768888888888895</v>
      </c>
      <c r="BA10" s="144">
        <v>8.764444444444436</v>
      </c>
      <c r="BB10" s="144">
        <v>0.59999999999999432</v>
      </c>
      <c r="BC10" s="144">
        <v>-27.642857142857153</v>
      </c>
      <c r="BD10" s="144">
        <v>19.857142857142847</v>
      </c>
      <c r="BE10" s="59">
        <v>85.306584077589307</v>
      </c>
      <c r="BF10" s="59">
        <v>8.475836714897298</v>
      </c>
      <c r="BG10" s="59">
        <v>6.2175792075133964</v>
      </c>
      <c r="BH10" s="60">
        <v>14.693415922410693</v>
      </c>
      <c r="BI10" s="215" t="s">
        <v>356</v>
      </c>
      <c r="BK10" s="455">
        <v>0.26913974000000002</v>
      </c>
      <c r="BL10" s="456">
        <v>4.8878605479999999</v>
      </c>
      <c r="BM10" s="456">
        <v>8.4530248700000001</v>
      </c>
      <c r="BN10" s="456">
        <v>5.5204980580000003</v>
      </c>
      <c r="BO10" s="456">
        <v>0.68034717300000003</v>
      </c>
      <c r="BP10" s="165">
        <f t="shared" si="0"/>
        <v>99.73086026</v>
      </c>
      <c r="BQ10" s="26">
        <v>0.28434114300000002</v>
      </c>
      <c r="BR10" s="77">
        <v>3.9921295919999999</v>
      </c>
      <c r="BS10" s="77">
        <v>6.3032238520000003</v>
      </c>
      <c r="BT10" s="77">
        <v>3.8887330279999999</v>
      </c>
      <c r="BU10" s="68">
        <v>0.48736695000000002</v>
      </c>
      <c r="BV10" s="77">
        <v>2.9750437000000001E-2</v>
      </c>
      <c r="BW10" s="77">
        <v>1.6024529869999999</v>
      </c>
      <c r="BX10" s="77">
        <v>2.8239441369999998</v>
      </c>
      <c r="BY10" s="77">
        <v>1.44214076</v>
      </c>
      <c r="BZ10" s="77">
        <v>0.23025599199999999</v>
      </c>
      <c r="CA10" s="26">
        <v>0.12574105899999999</v>
      </c>
      <c r="CB10" s="77">
        <v>4.308663224</v>
      </c>
      <c r="CC10" s="77">
        <v>11.49120291</v>
      </c>
      <c r="CD10" s="77">
        <v>9.5180722889999991</v>
      </c>
      <c r="CE10" s="68">
        <v>2.6759418629999998</v>
      </c>
    </row>
    <row r="11" spans="1:83" ht="14.4" customHeight="1" x14ac:dyDescent="0.3">
      <c r="A11" s="54" t="s">
        <v>369</v>
      </c>
      <c r="B11" s="54" t="s">
        <v>370</v>
      </c>
      <c r="C11" s="54" t="s">
        <v>384</v>
      </c>
      <c r="D11" s="54" t="s">
        <v>385</v>
      </c>
      <c r="E11" s="181" t="s">
        <v>186</v>
      </c>
      <c r="F11" s="157" t="s">
        <v>903</v>
      </c>
      <c r="G11" s="158" t="s">
        <v>335</v>
      </c>
      <c r="H11" s="136" t="s">
        <v>201</v>
      </c>
      <c r="J11" s="156" t="s">
        <v>201</v>
      </c>
      <c r="K11" s="156" t="s">
        <v>267</v>
      </c>
      <c r="L11" s="306"/>
      <c r="M11" s="306" t="s">
        <v>201</v>
      </c>
      <c r="N11" s="303"/>
      <c r="O11" s="303"/>
      <c r="P11" s="182">
        <v>6.1</v>
      </c>
      <c r="Q11" s="178">
        <v>-9.0248452756741386</v>
      </c>
      <c r="R11" s="140">
        <v>-11.53259953976746</v>
      </c>
      <c r="S11" s="140">
        <v>-6.0297640882000394</v>
      </c>
      <c r="T11" s="141">
        <v>-10.837949145262996</v>
      </c>
      <c r="U11" s="141">
        <v>-28.24514508736948</v>
      </c>
      <c r="V11" s="141">
        <v>0.48396437576377593</v>
      </c>
      <c r="W11" s="142">
        <v>-3.9241085898724464</v>
      </c>
      <c r="X11" s="142">
        <v>-33.140793298538995</v>
      </c>
      <c r="Y11" s="142">
        <v>17.912330008377339</v>
      </c>
      <c r="Z11" s="143">
        <v>0</v>
      </c>
      <c r="AA11" s="143">
        <v>0</v>
      </c>
      <c r="AB11" s="143">
        <v>0</v>
      </c>
      <c r="AC11" s="144">
        <v>0.29999999999999716</v>
      </c>
      <c r="AD11" s="144">
        <v>-17.768888888888895</v>
      </c>
      <c r="AE11" s="144">
        <v>8.764444444444436</v>
      </c>
      <c r="AF11" s="144">
        <v>0.59999999999999432</v>
      </c>
      <c r="AG11" s="144">
        <v>-27.642857142857153</v>
      </c>
      <c r="AH11" s="144">
        <v>19.857142857142847</v>
      </c>
      <c r="AI11" s="61">
        <v>77.532815770722692</v>
      </c>
      <c r="AJ11" s="61">
        <v>15.325227357380447</v>
      </c>
      <c r="AK11" s="61">
        <v>7.1419568718968653</v>
      </c>
      <c r="AL11" s="27">
        <v>22.467184229277311</v>
      </c>
      <c r="AM11" s="146">
        <v>-7.5436876275860669</v>
      </c>
      <c r="AN11" s="146">
        <v>-9.3842881774067735</v>
      </c>
      <c r="AO11" s="146">
        <v>-5.3507012015688815</v>
      </c>
      <c r="AP11" s="146">
        <v>-8.786685534514632</v>
      </c>
      <c r="AQ11" s="146">
        <v>-26.334482772858905</v>
      </c>
      <c r="AR11" s="146">
        <v>1.7495179917234225</v>
      </c>
      <c r="AS11" s="146">
        <v>-3.3316455306372319</v>
      </c>
      <c r="AT11" s="146">
        <v>-32.373875276011802</v>
      </c>
      <c r="AU11" s="146">
        <v>17.807874049837764</v>
      </c>
      <c r="AV11" s="143">
        <v>0</v>
      </c>
      <c r="AW11" s="143">
        <v>0</v>
      </c>
      <c r="AX11" s="143">
        <v>0</v>
      </c>
      <c r="AY11" s="144">
        <v>0.29999999999999716</v>
      </c>
      <c r="AZ11" s="144">
        <v>-17.768888888888895</v>
      </c>
      <c r="BA11" s="144">
        <v>8.764444444444436</v>
      </c>
      <c r="BB11" s="144">
        <v>0.59999999999999432</v>
      </c>
      <c r="BC11" s="144">
        <v>-27.642857142857153</v>
      </c>
      <c r="BD11" s="144">
        <v>19.857142857142847</v>
      </c>
      <c r="BE11" s="59">
        <v>83.122089914451252</v>
      </c>
      <c r="BF11" s="59">
        <v>9.7359532136518858</v>
      </c>
      <c r="BG11" s="59">
        <v>7.1419568718968653</v>
      </c>
      <c r="BH11" s="60">
        <v>16.877910085548752</v>
      </c>
      <c r="BI11" s="215" t="s">
        <v>356</v>
      </c>
      <c r="BK11" s="455">
        <v>0.309029532</v>
      </c>
      <c r="BL11" s="456">
        <v>5.5720016360000004</v>
      </c>
      <c r="BM11" s="456">
        <v>9.7058662429999991</v>
      </c>
      <c r="BN11" s="456">
        <v>6.3387031949999999</v>
      </c>
      <c r="BO11" s="456">
        <v>0.78118292099999997</v>
      </c>
      <c r="BP11" s="165">
        <f t="shared" si="0"/>
        <v>99.690970468000003</v>
      </c>
      <c r="BQ11" s="26">
        <v>0.31174265400000001</v>
      </c>
      <c r="BR11" s="77">
        <v>4.3913247359999996</v>
      </c>
      <c r="BS11" s="77">
        <v>6.9901093059999999</v>
      </c>
      <c r="BT11" s="77">
        <v>4.3125025490000004</v>
      </c>
      <c r="BU11" s="68">
        <v>0.54047711600000004</v>
      </c>
      <c r="BV11" s="77">
        <v>2.8226713E-2</v>
      </c>
      <c r="BW11" s="77">
        <v>1.933084751</v>
      </c>
      <c r="BX11" s="77">
        <v>3.5724140379999998</v>
      </c>
      <c r="BY11" s="77">
        <v>1.824371746</v>
      </c>
      <c r="BZ11" s="77">
        <v>0.29128399799999999</v>
      </c>
      <c r="CA11" s="26" t="s">
        <v>220</v>
      </c>
      <c r="CB11" s="77" t="s">
        <v>220</v>
      </c>
      <c r="CC11" s="77" t="s">
        <v>220</v>
      </c>
      <c r="CD11" s="77" t="s">
        <v>220</v>
      </c>
      <c r="CE11" s="68" t="s">
        <v>220</v>
      </c>
    </row>
    <row r="12" spans="1:83" ht="14.4" customHeight="1" x14ac:dyDescent="0.3">
      <c r="A12" s="54" t="s">
        <v>369</v>
      </c>
      <c r="B12" s="54" t="s">
        <v>370</v>
      </c>
      <c r="C12" s="54" t="s">
        <v>371</v>
      </c>
      <c r="D12" s="54" t="s">
        <v>372</v>
      </c>
      <c r="E12" s="181" t="s">
        <v>704</v>
      </c>
      <c r="F12" s="157" t="s">
        <v>904</v>
      </c>
      <c r="G12" s="158" t="s">
        <v>335</v>
      </c>
      <c r="H12" s="136" t="s">
        <v>201</v>
      </c>
      <c r="J12" s="156" t="s">
        <v>227</v>
      </c>
      <c r="K12" s="156" t="s">
        <v>227</v>
      </c>
      <c r="L12" s="306" t="s">
        <v>227</v>
      </c>
      <c r="M12" s="306"/>
      <c r="N12" s="303"/>
      <c r="O12" s="303"/>
      <c r="P12" s="182">
        <v>6.2</v>
      </c>
      <c r="Q12" s="178">
        <v>-7.2951972695008749E-2</v>
      </c>
      <c r="R12" s="140">
        <v>-0.10581152657827886</v>
      </c>
      <c r="S12" s="140">
        <v>-3.3446120490722819E-2</v>
      </c>
      <c r="T12" s="141">
        <v>0.19896840007899641</v>
      </c>
      <c r="U12" s="141">
        <v>-17.862995404273974</v>
      </c>
      <c r="V12" s="141">
        <v>8.7021116921174126</v>
      </c>
      <c r="W12" s="142">
        <v>0.5708192109219965</v>
      </c>
      <c r="X12" s="142">
        <v>-27.680630422906674</v>
      </c>
      <c r="Y12" s="142">
        <v>19.862287662792028</v>
      </c>
      <c r="Z12" s="143">
        <v>0</v>
      </c>
      <c r="AA12" s="143">
        <v>0</v>
      </c>
      <c r="AB12" s="143">
        <v>0</v>
      </c>
      <c r="AC12" s="144">
        <v>0.29999999999999716</v>
      </c>
      <c r="AD12" s="144">
        <v>-17.768888888888895</v>
      </c>
      <c r="AE12" s="144">
        <v>8.764444444444436</v>
      </c>
      <c r="AF12" s="144">
        <v>0.59999999999999432</v>
      </c>
      <c r="AG12" s="144">
        <v>-27.642857142857153</v>
      </c>
      <c r="AH12" s="144">
        <v>19.857142857142847</v>
      </c>
      <c r="AI12" s="61">
        <v>99.724709536999995</v>
      </c>
      <c r="AJ12" s="61">
        <v>0.27529046299999999</v>
      </c>
      <c r="AK12" s="61">
        <v>0</v>
      </c>
      <c r="AL12" s="27">
        <v>0.27529046299999999</v>
      </c>
      <c r="AM12" s="146">
        <v>0</v>
      </c>
      <c r="AN12" s="146">
        <v>0</v>
      </c>
      <c r="AO12" s="146">
        <v>0</v>
      </c>
      <c r="AP12" s="146">
        <v>0.29999999999999716</v>
      </c>
      <c r="AQ12" s="146">
        <v>-17.768888888888895</v>
      </c>
      <c r="AR12" s="146">
        <v>8.764444444444436</v>
      </c>
      <c r="AS12" s="146">
        <v>0.59999999999999432</v>
      </c>
      <c r="AT12" s="146">
        <v>-27.642857142857153</v>
      </c>
      <c r="AU12" s="146">
        <v>19.857142857142847</v>
      </c>
      <c r="AV12" s="143">
        <v>0</v>
      </c>
      <c r="AW12" s="143">
        <v>0</v>
      </c>
      <c r="AX12" s="143">
        <v>0</v>
      </c>
      <c r="AY12" s="144">
        <v>0.29999999999999716</v>
      </c>
      <c r="AZ12" s="144">
        <v>-17.768888888888895</v>
      </c>
      <c r="BA12" s="144">
        <v>8.764444444444436</v>
      </c>
      <c r="BB12" s="144">
        <v>0.59999999999999432</v>
      </c>
      <c r="BC12" s="144">
        <v>-27.642857142857153</v>
      </c>
      <c r="BD12" s="144">
        <v>19.857142857142847</v>
      </c>
      <c r="BE12" s="59">
        <v>100</v>
      </c>
      <c r="BF12" s="59">
        <v>0</v>
      </c>
      <c r="BG12" s="59">
        <v>0</v>
      </c>
      <c r="BH12" s="60">
        <v>0</v>
      </c>
      <c r="BI12" s="215" t="s">
        <v>356</v>
      </c>
      <c r="BK12" s="455">
        <v>0</v>
      </c>
      <c r="BL12" s="456">
        <v>0.27529046299999999</v>
      </c>
      <c r="BM12" s="456">
        <v>0</v>
      </c>
      <c r="BN12" s="456">
        <v>0</v>
      </c>
      <c r="BO12" s="456">
        <v>0</v>
      </c>
      <c r="BP12" s="165">
        <f t="shared" si="0"/>
        <v>100</v>
      </c>
      <c r="BQ12" s="26">
        <v>3.2890401999999999E-2</v>
      </c>
      <c r="BR12" s="77">
        <v>0.32890402000000002</v>
      </c>
      <c r="BS12" s="77">
        <v>0</v>
      </c>
      <c r="BT12" s="77">
        <v>0</v>
      </c>
      <c r="BU12" s="68">
        <v>0</v>
      </c>
      <c r="BV12" s="77">
        <v>3.5499383000000002E-2</v>
      </c>
      <c r="BW12" s="77">
        <v>0.35499383299999998</v>
      </c>
      <c r="BX12" s="77">
        <v>0</v>
      </c>
      <c r="BY12" s="77">
        <v>0</v>
      </c>
      <c r="BZ12" s="77">
        <v>0</v>
      </c>
      <c r="CA12" s="26" t="s">
        <v>220</v>
      </c>
      <c r="CB12" s="77" t="s">
        <v>220</v>
      </c>
      <c r="CC12" s="77" t="s">
        <v>220</v>
      </c>
      <c r="CD12" s="77" t="s">
        <v>220</v>
      </c>
      <c r="CE12" s="68" t="s">
        <v>220</v>
      </c>
    </row>
    <row r="13" spans="1:83" ht="14.4" customHeight="1" x14ac:dyDescent="0.3">
      <c r="A13" s="41" t="s">
        <v>369</v>
      </c>
      <c r="B13" s="41" t="s">
        <v>379</v>
      </c>
      <c r="C13" s="146" t="s">
        <v>380</v>
      </c>
      <c r="D13" s="146" t="s">
        <v>381</v>
      </c>
      <c r="E13" s="181" t="s">
        <v>186</v>
      </c>
      <c r="F13" s="157" t="s">
        <v>382</v>
      </c>
      <c r="G13" s="158" t="s">
        <v>185</v>
      </c>
      <c r="H13" s="136" t="s">
        <v>383</v>
      </c>
      <c r="I13" s="156" t="s">
        <v>188</v>
      </c>
      <c r="J13" s="156" t="s">
        <v>188</v>
      </c>
      <c r="K13" s="159" t="s">
        <v>188</v>
      </c>
      <c r="L13" s="302"/>
      <c r="M13" s="302"/>
      <c r="N13" s="302"/>
      <c r="O13" s="302"/>
      <c r="P13" s="182">
        <v>7</v>
      </c>
      <c r="Q13" s="178">
        <v>-8.3663356408222711</v>
      </c>
      <c r="R13" s="140">
        <v>-12.775600443428303</v>
      </c>
      <c r="S13" s="140">
        <v>-3.8096825155126055</v>
      </c>
      <c r="T13" s="141">
        <v>-13.131339932467654</v>
      </c>
      <c r="U13" s="141">
        <v>-29.206484848970987</v>
      </c>
      <c r="V13" s="141">
        <v>-1.3973543949189491</v>
      </c>
      <c r="W13" s="142">
        <v>-7.5058320844299971</v>
      </c>
      <c r="X13" s="142">
        <v>-26.316625533807269</v>
      </c>
      <c r="Y13" s="142">
        <v>9.3001052061629963</v>
      </c>
      <c r="Z13" s="143">
        <v>0</v>
      </c>
      <c r="AA13" s="143">
        <v>0</v>
      </c>
      <c r="AB13" s="143">
        <v>0</v>
      </c>
      <c r="AC13" s="144">
        <v>-1.0999999999999943</v>
      </c>
      <c r="AD13" s="144">
        <v>-16.901577473094491</v>
      </c>
      <c r="AE13" s="144">
        <v>8.3421003489115009</v>
      </c>
      <c r="AF13" s="144">
        <v>-3.2000000000000028</v>
      </c>
      <c r="AG13" s="144">
        <v>-22.577355152587359</v>
      </c>
      <c r="AH13" s="144">
        <v>11.277355152587347</v>
      </c>
      <c r="AI13" s="61">
        <v>66.097321457303693</v>
      </c>
      <c r="AJ13" s="61">
        <v>19.963844533434642</v>
      </c>
      <c r="AK13" s="61">
        <v>13.938834009261663</v>
      </c>
      <c r="AL13" s="27">
        <v>33.902678542696307</v>
      </c>
      <c r="AM13" s="146">
        <v>-7.4691333979239971</v>
      </c>
      <c r="AN13" s="146">
        <v>-10.960870775257519</v>
      </c>
      <c r="AO13" s="146">
        <v>-3.8753085081314111</v>
      </c>
      <c r="AP13" s="146">
        <v>-11.841202400708809</v>
      </c>
      <c r="AQ13" s="146">
        <v>-27.942831684770113</v>
      </c>
      <c r="AR13" s="146">
        <v>-0.43891817529706145</v>
      </c>
      <c r="AS13" s="146">
        <v>-7.1587392459365162</v>
      </c>
      <c r="AT13" s="146">
        <v>-26.157393958189928</v>
      </c>
      <c r="AU13" s="146">
        <v>9.3109650423443924</v>
      </c>
      <c r="AV13" s="143">
        <v>0</v>
      </c>
      <c r="AW13" s="143">
        <v>0</v>
      </c>
      <c r="AX13" s="143">
        <v>0</v>
      </c>
      <c r="AY13" s="144">
        <v>-1.0999999999999943</v>
      </c>
      <c r="AZ13" s="144">
        <v>-16.901577473094491</v>
      </c>
      <c r="BA13" s="144">
        <v>8.3421003489115009</v>
      </c>
      <c r="BB13" s="144">
        <v>-3.2000000000000028</v>
      </c>
      <c r="BC13" s="144">
        <v>-22.577355152587359</v>
      </c>
      <c r="BD13" s="144">
        <v>11.277355152587347</v>
      </c>
      <c r="BE13" s="59">
        <v>72.646242938313009</v>
      </c>
      <c r="BF13" s="59">
        <v>13.414923052425321</v>
      </c>
      <c r="BG13" s="59">
        <v>13.938834009261663</v>
      </c>
      <c r="BH13" s="60">
        <v>27.353757061686984</v>
      </c>
      <c r="BI13" s="215" t="s">
        <v>356</v>
      </c>
      <c r="BK13" s="455">
        <v>0.28404823699999998</v>
      </c>
      <c r="BL13" s="456">
        <v>6.5303193850000003</v>
      </c>
      <c r="BM13" s="456">
        <v>13.376818200000001</v>
      </c>
      <c r="BN13" s="456">
        <v>10.115489650000001</v>
      </c>
      <c r="BO13" s="456">
        <v>3.7837513469999999</v>
      </c>
      <c r="BP13" s="165">
        <f t="shared" si="0"/>
        <v>99.715951763000007</v>
      </c>
      <c r="BQ13" s="26">
        <v>0.50059434199999997</v>
      </c>
      <c r="BR13" s="77">
        <v>4.2815038650000004</v>
      </c>
      <c r="BS13" s="77">
        <v>8.6093111540000002</v>
      </c>
      <c r="BT13" s="77">
        <v>6.4065068810000003</v>
      </c>
      <c r="BU13" s="68">
        <v>2.275761513</v>
      </c>
      <c r="BV13" s="77">
        <v>0.52530816700000005</v>
      </c>
      <c r="BW13" s="77">
        <v>6.0039550359999998</v>
      </c>
      <c r="BX13" s="77">
        <v>11.40145171</v>
      </c>
      <c r="BY13" s="77">
        <v>8.0580083029999994</v>
      </c>
      <c r="BZ13" s="77">
        <v>2.982776104</v>
      </c>
      <c r="CA13" s="26">
        <v>0.471189103</v>
      </c>
      <c r="CB13" s="77">
        <v>4.9933544149999998</v>
      </c>
      <c r="CC13" s="77">
        <v>10.01986668</v>
      </c>
      <c r="CD13" s="77">
        <v>7.4918534819999998</v>
      </c>
      <c r="CE13" s="68">
        <v>2.7410307020000002</v>
      </c>
    </row>
    <row r="14" spans="1:83" ht="14.4" customHeight="1" x14ac:dyDescent="0.3">
      <c r="A14" s="41" t="s">
        <v>369</v>
      </c>
      <c r="B14" s="41" t="s">
        <v>417</v>
      </c>
      <c r="C14" s="146" t="s">
        <v>418</v>
      </c>
      <c r="D14" s="146" t="s">
        <v>419</v>
      </c>
      <c r="E14" s="181" t="s">
        <v>200</v>
      </c>
      <c r="F14" s="157" t="s">
        <v>901</v>
      </c>
      <c r="G14" s="158" t="s">
        <v>335</v>
      </c>
      <c r="H14" s="136" t="s">
        <v>187</v>
      </c>
      <c r="J14" s="156" t="s">
        <v>187</v>
      </c>
      <c r="K14" s="156" t="s">
        <v>201</v>
      </c>
      <c r="L14" s="303"/>
      <c r="M14" s="303"/>
      <c r="N14" s="303" t="s">
        <v>187</v>
      </c>
      <c r="O14" s="303"/>
      <c r="P14" s="182">
        <v>8</v>
      </c>
      <c r="Q14" s="178">
        <v>-30.131900813328002</v>
      </c>
      <c r="R14" s="140">
        <v>-34.089801873457716</v>
      </c>
      <c r="S14" s="140">
        <v>-24.83242138554229</v>
      </c>
      <c r="T14" s="141">
        <v>-37.279566816820001</v>
      </c>
      <c r="U14" s="141">
        <v>-52.48424392406038</v>
      </c>
      <c r="V14" s="141">
        <v>-22.340877275922509</v>
      </c>
      <c r="W14" s="142">
        <v>-35.739545245675998</v>
      </c>
      <c r="X14" s="142">
        <v>-57.499587531656324</v>
      </c>
      <c r="Y14" s="142">
        <v>-14.538174119243507</v>
      </c>
      <c r="Z14" s="143">
        <v>0</v>
      </c>
      <c r="AA14" s="143">
        <v>0</v>
      </c>
      <c r="AB14" s="143">
        <v>0</v>
      </c>
      <c r="AC14" s="144">
        <v>-4.9000000000000057</v>
      </c>
      <c r="AD14" s="144">
        <v>-21.866666666666674</v>
      </c>
      <c r="AE14" s="144">
        <v>4.74444444444444</v>
      </c>
      <c r="AF14" s="144">
        <v>-20.900000000000006</v>
      </c>
      <c r="AG14" s="144">
        <v>-43.75238095238096</v>
      </c>
      <c r="AH14" s="144">
        <v>-4.8047619047619037</v>
      </c>
      <c r="AI14" s="61">
        <v>52.244156488000002</v>
      </c>
      <c r="AJ14" s="61">
        <v>9.062994582</v>
      </c>
      <c r="AK14" s="61">
        <v>38.692848929999997</v>
      </c>
      <c r="AL14" s="27">
        <v>47.755843511999998</v>
      </c>
      <c r="AM14" s="146">
        <v>-28.728420845350996</v>
      </c>
      <c r="AN14" s="146">
        <v>-32.195707131574721</v>
      </c>
      <c r="AO14" s="146">
        <v>-24.045561078758624</v>
      </c>
      <c r="AP14" s="146">
        <v>-35.771529601945005</v>
      </c>
      <c r="AQ14" s="146">
        <v>-51.060656793218385</v>
      </c>
      <c r="AR14" s="146">
        <v>-21.336221287566218</v>
      </c>
      <c r="AS14" s="146">
        <v>-35.043837410547013</v>
      </c>
      <c r="AT14" s="146">
        <v>-56.776074362736871</v>
      </c>
      <c r="AU14" s="146">
        <v>-14.072645424721472</v>
      </c>
      <c r="AV14" s="143">
        <v>0</v>
      </c>
      <c r="AW14" s="143">
        <v>0</v>
      </c>
      <c r="AX14" s="143">
        <v>0</v>
      </c>
      <c r="AY14" s="144">
        <v>-4.9000000000000057</v>
      </c>
      <c r="AZ14" s="144">
        <v>-21.866666666666674</v>
      </c>
      <c r="BA14" s="144">
        <v>4.74444444444444</v>
      </c>
      <c r="BB14" s="144">
        <v>-20.900000000000006</v>
      </c>
      <c r="BC14" s="144">
        <v>-43.75238095238096</v>
      </c>
      <c r="BD14" s="144">
        <v>-4.8047619047619037</v>
      </c>
      <c r="BE14" s="59">
        <v>56.265589061</v>
      </c>
      <c r="BF14" s="59">
        <v>5.0415620089999997</v>
      </c>
      <c r="BG14" s="59">
        <v>38.692848929999997</v>
      </c>
      <c r="BH14" s="60">
        <v>43.734410939</v>
      </c>
      <c r="BI14" s="215" t="s">
        <v>356</v>
      </c>
      <c r="BK14" s="455">
        <v>0</v>
      </c>
      <c r="BL14" s="456">
        <v>4.0214325730000002</v>
      </c>
      <c r="BM14" s="456">
        <v>5.0415620089999997</v>
      </c>
      <c r="BN14" s="456">
        <v>10.53760589</v>
      </c>
      <c r="BO14" s="456">
        <v>28.155243039999998</v>
      </c>
      <c r="BP14" s="165">
        <f t="shared" si="0"/>
        <v>100</v>
      </c>
      <c r="BQ14" s="26">
        <v>0</v>
      </c>
      <c r="BR14" s="77">
        <v>6.5645810730000003</v>
      </c>
      <c r="BS14" s="77">
        <v>5.7066087259999998</v>
      </c>
      <c r="BT14" s="77">
        <v>6.0905271379999997</v>
      </c>
      <c r="BU14" s="68">
        <v>11.2053137</v>
      </c>
      <c r="BV14" s="77">
        <v>0</v>
      </c>
      <c r="BW14" s="77">
        <v>4.0276301290000003</v>
      </c>
      <c r="BX14" s="77">
        <v>4.8747044229999998</v>
      </c>
      <c r="BY14" s="77">
        <v>6.681063151</v>
      </c>
      <c r="BZ14" s="77">
        <v>15.84447372</v>
      </c>
      <c r="CA14" s="26">
        <v>0</v>
      </c>
      <c r="CB14" s="77">
        <v>7.1730424810000004</v>
      </c>
      <c r="CC14" s="77">
        <v>6.7061759199999997</v>
      </c>
      <c r="CD14" s="77">
        <v>7.438673455</v>
      </c>
      <c r="CE14" s="68">
        <v>14.23339303</v>
      </c>
    </row>
    <row r="15" spans="1:83" ht="14.4" customHeight="1" x14ac:dyDescent="0.3">
      <c r="A15" s="297" t="s">
        <v>369</v>
      </c>
      <c r="B15" s="297" t="s">
        <v>386</v>
      </c>
      <c r="C15" s="297" t="s">
        <v>529</v>
      </c>
      <c r="D15" s="297" t="s">
        <v>530</v>
      </c>
      <c r="E15" s="181" t="s">
        <v>704</v>
      </c>
      <c r="F15" s="157" t="s">
        <v>725</v>
      </c>
      <c r="G15" s="158" t="s">
        <v>335</v>
      </c>
      <c r="I15" s="159"/>
      <c r="J15" s="159" t="s">
        <v>267</v>
      </c>
      <c r="K15" s="159" t="s">
        <v>267</v>
      </c>
      <c r="L15" s="302"/>
      <c r="M15" s="302"/>
      <c r="N15" s="302"/>
      <c r="O15" s="302"/>
      <c r="P15" s="182">
        <v>9</v>
      </c>
      <c r="Q15" s="178">
        <v>-17.729254837122312</v>
      </c>
      <c r="R15" s="140">
        <v>-20.942589845471517</v>
      </c>
      <c r="S15" s="140">
        <v>-13.348283443123009</v>
      </c>
      <c r="T15" s="141">
        <v>-26.851182501310035</v>
      </c>
      <c r="U15" s="141">
        <v>-42.047857457172874</v>
      </c>
      <c r="V15" s="141">
        <v>-14.114421727080938</v>
      </c>
      <c r="W15" s="142">
        <v>-17.990752013414749</v>
      </c>
      <c r="X15" s="142">
        <v>-45.28792129692733</v>
      </c>
      <c r="Y15" s="142">
        <v>3.8339690724862976</v>
      </c>
      <c r="Z15" s="143">
        <v>0</v>
      </c>
      <c r="AA15" s="143">
        <v>0</v>
      </c>
      <c r="AB15" s="143">
        <v>0</v>
      </c>
      <c r="AC15" s="144">
        <v>-3.4000000000000057</v>
      </c>
      <c r="AD15" s="144">
        <v>-19.432817337461302</v>
      </c>
      <c r="AE15" s="144">
        <v>4.5066735466116228</v>
      </c>
      <c r="AF15" s="144">
        <v>-12.200000000000003</v>
      </c>
      <c r="AG15" s="144">
        <v>-38.040100250626566</v>
      </c>
      <c r="AH15" s="144">
        <v>7.430576441102744</v>
      </c>
      <c r="AI15" s="61">
        <v>61.363241587585037</v>
      </c>
      <c r="AJ15" s="61">
        <v>19.459198666170607</v>
      </c>
      <c r="AK15" s="61">
        <v>19.177559746244359</v>
      </c>
      <c r="AL15" s="27">
        <v>38.636758412414963</v>
      </c>
      <c r="AM15" s="146">
        <v>-15.714500423412346</v>
      </c>
      <c r="AN15" s="146">
        <v>-18.106100831696736</v>
      </c>
      <c r="AO15" s="146">
        <v>-12.253720792864428</v>
      </c>
      <c r="AP15" s="146">
        <v>-24.22209313522292</v>
      </c>
      <c r="AQ15" s="146">
        <v>-39.25635832599616</v>
      </c>
      <c r="AR15" s="146">
        <v>-12.249837625035482</v>
      </c>
      <c r="AS15" s="146">
        <v>-17.56137812196836</v>
      </c>
      <c r="AT15" s="146">
        <v>-44.634650484981897</v>
      </c>
      <c r="AU15" s="146">
        <v>4.1653957182579262</v>
      </c>
      <c r="AV15" s="143">
        <v>0</v>
      </c>
      <c r="AW15" s="143">
        <v>0</v>
      </c>
      <c r="AX15" s="143">
        <v>0</v>
      </c>
      <c r="AY15" s="144">
        <v>-3.4000000000000057</v>
      </c>
      <c r="AZ15" s="144">
        <v>-19.432817337461302</v>
      </c>
      <c r="BA15" s="144">
        <v>4.5066735466116228</v>
      </c>
      <c r="BB15" s="144">
        <v>-12.200000000000003</v>
      </c>
      <c r="BC15" s="144">
        <v>-38.040100250626566</v>
      </c>
      <c r="BD15" s="144">
        <v>7.430576441102744</v>
      </c>
      <c r="BE15" s="59">
        <v>67.968993763683315</v>
      </c>
      <c r="BF15" s="59">
        <v>12.853446490072335</v>
      </c>
      <c r="BG15" s="59">
        <v>19.177559746244359</v>
      </c>
      <c r="BH15" s="60">
        <v>32.031006236316692</v>
      </c>
      <c r="BI15" s="215" t="s">
        <v>356</v>
      </c>
      <c r="BK15" s="455">
        <v>0.281812587</v>
      </c>
      <c r="BL15" s="456">
        <v>6.5871363350000003</v>
      </c>
      <c r="BM15" s="456">
        <v>12.81722386</v>
      </c>
      <c r="BN15" s="456">
        <v>11.968156889999999</v>
      </c>
      <c r="BO15" s="456">
        <v>7.155358079</v>
      </c>
      <c r="BP15" s="165">
        <f t="shared" si="0"/>
        <v>99.718187412999995</v>
      </c>
      <c r="BQ15" s="26">
        <v>0.38453326999999998</v>
      </c>
      <c r="BR15" s="77">
        <v>5.2313913110000003</v>
      </c>
      <c r="BS15" s="77">
        <v>9.8295402519999993</v>
      </c>
      <c r="BT15" s="77">
        <v>8.8967128899999999</v>
      </c>
      <c r="BU15" s="68">
        <v>5.1696097720000003</v>
      </c>
      <c r="BV15" s="77">
        <v>0.35047732999999998</v>
      </c>
      <c r="BW15" s="77">
        <v>6.828205992</v>
      </c>
      <c r="BX15" s="77">
        <v>12.79205316</v>
      </c>
      <c r="BY15" s="77">
        <v>11.151515079999999</v>
      </c>
      <c r="BZ15" s="77">
        <v>6.6260132120000002</v>
      </c>
      <c r="CA15" s="26">
        <v>0.59240891900000003</v>
      </c>
      <c r="CB15" s="77">
        <v>3.2510598430000002</v>
      </c>
      <c r="CC15" s="77">
        <v>7.5728144799999999</v>
      </c>
      <c r="CD15" s="77">
        <v>5.7241477850000004</v>
      </c>
      <c r="CE15" s="68">
        <v>2.90163715</v>
      </c>
    </row>
    <row r="16" spans="1:83" ht="14.4" customHeight="1" x14ac:dyDescent="0.3">
      <c r="A16" s="86" t="s">
        <v>369</v>
      </c>
      <c r="B16" s="86" t="s">
        <v>389</v>
      </c>
      <c r="C16" s="147" t="s">
        <v>490</v>
      </c>
      <c r="D16" s="147" t="s">
        <v>491</v>
      </c>
      <c r="E16" s="181" t="s">
        <v>200</v>
      </c>
      <c r="F16" s="157" t="s">
        <v>729</v>
      </c>
      <c r="G16" s="158" t="s">
        <v>185</v>
      </c>
      <c r="I16" s="159" t="s">
        <v>188</v>
      </c>
      <c r="J16" s="159" t="s">
        <v>188</v>
      </c>
      <c r="K16" s="159" t="s">
        <v>187</v>
      </c>
      <c r="L16" s="302"/>
      <c r="M16" s="302"/>
      <c r="N16" s="302"/>
      <c r="O16" s="302"/>
      <c r="P16" s="182">
        <v>10</v>
      </c>
      <c r="Q16" s="178">
        <v>-8.4599575515407253</v>
      </c>
      <c r="R16" s="140">
        <v>-14.452810844805001</v>
      </c>
      <c r="S16" s="140">
        <v>-3.5024020378220655</v>
      </c>
      <c r="T16" s="141">
        <v>-21.049035080349512</v>
      </c>
      <c r="U16" s="141">
        <v>-38.008449332579758</v>
      </c>
      <c r="V16" s="141">
        <v>-9.379760593832998</v>
      </c>
      <c r="W16" s="142">
        <v>-29.390964290244739</v>
      </c>
      <c r="X16" s="142">
        <v>-51.743958079402177</v>
      </c>
      <c r="Y16" s="142">
        <v>-3.0685482168674412</v>
      </c>
      <c r="Z16" s="143">
        <v>0</v>
      </c>
      <c r="AA16" s="143">
        <v>0</v>
      </c>
      <c r="AB16" s="143">
        <v>0</v>
      </c>
      <c r="AC16" s="144">
        <v>-2.9000000000000057</v>
      </c>
      <c r="AD16" s="144">
        <v>-20.663137254901969</v>
      </c>
      <c r="AE16" s="144">
        <v>6.0009150326797283</v>
      </c>
      <c r="AF16" s="144">
        <v>-23.900000000000006</v>
      </c>
      <c r="AG16" s="144">
        <v>-46.157142857142858</v>
      </c>
      <c r="AH16" s="144">
        <v>3.0571428571428498</v>
      </c>
      <c r="AI16" s="61">
        <v>64.418833116324393</v>
      </c>
      <c r="AJ16" s="61">
        <v>19.007585918605056</v>
      </c>
      <c r="AK16" s="61">
        <v>16.573580965070544</v>
      </c>
      <c r="AL16" s="27">
        <v>35.5811668836756</v>
      </c>
      <c r="AM16" s="146">
        <v>-7.717669833030385</v>
      </c>
      <c r="AN16" s="146">
        <v>-12.256610577037378</v>
      </c>
      <c r="AO16" s="146">
        <v>-3.9232111378207435</v>
      </c>
      <c r="AP16" s="146">
        <v>-19.060764405768253</v>
      </c>
      <c r="AQ16" s="146">
        <v>-35.904164642129288</v>
      </c>
      <c r="AR16" s="146">
        <v>-7.9368020816199873</v>
      </c>
      <c r="AS16" s="146">
        <v>-28.880641483768883</v>
      </c>
      <c r="AT16" s="146">
        <v>-51.108027062055946</v>
      </c>
      <c r="AU16" s="146">
        <v>-2.4373511773178365</v>
      </c>
      <c r="AV16" s="143">
        <v>0</v>
      </c>
      <c r="AW16" s="143">
        <v>0</v>
      </c>
      <c r="AX16" s="143">
        <v>0</v>
      </c>
      <c r="AY16" s="144">
        <v>-2.9000000000000057</v>
      </c>
      <c r="AZ16" s="144">
        <v>-20.663137254901969</v>
      </c>
      <c r="BA16" s="144">
        <v>6.0009150326797283</v>
      </c>
      <c r="BB16" s="144">
        <v>-23.900000000000006</v>
      </c>
      <c r="BC16" s="144">
        <v>-46.157142857142858</v>
      </c>
      <c r="BD16" s="144">
        <v>3.0571428571428498</v>
      </c>
      <c r="BE16" s="59">
        <v>71.046402031595235</v>
      </c>
      <c r="BF16" s="59">
        <v>12.38001700333421</v>
      </c>
      <c r="BG16" s="59">
        <v>16.573580965070544</v>
      </c>
      <c r="BH16" s="60">
        <v>28.953597968404754</v>
      </c>
      <c r="BI16" s="215" t="s">
        <v>356</v>
      </c>
      <c r="BK16" s="455">
        <v>0.55019684800000002</v>
      </c>
      <c r="BL16" s="456">
        <v>6.5911042399999999</v>
      </c>
      <c r="BM16" s="456">
        <v>12.31190254</v>
      </c>
      <c r="BN16" s="456">
        <v>10.877800239999999</v>
      </c>
      <c r="BO16" s="456">
        <v>5.6045934050000001</v>
      </c>
      <c r="BP16" s="165">
        <f t="shared" si="0"/>
        <v>99.449803152000001</v>
      </c>
      <c r="BQ16" s="26">
        <v>1.3301234500000001</v>
      </c>
      <c r="BR16" s="77">
        <v>4.3833391160000001</v>
      </c>
      <c r="BS16" s="77">
        <v>7.5346993529999997</v>
      </c>
      <c r="BT16" s="77">
        <v>6.5167350309999996</v>
      </c>
      <c r="BU16" s="68">
        <v>3.301474121</v>
      </c>
      <c r="BV16" s="77">
        <v>1.4665256360000001</v>
      </c>
      <c r="BW16" s="77">
        <v>5.5585453730000003</v>
      </c>
      <c r="BX16" s="77">
        <v>9.7285553349999994</v>
      </c>
      <c r="BY16" s="77">
        <v>8.2956648630000007</v>
      </c>
      <c r="BZ16" s="77">
        <v>4.159555546</v>
      </c>
      <c r="CA16" s="26">
        <v>0.79687663799999997</v>
      </c>
      <c r="CB16" s="77">
        <v>1.3931275190000001</v>
      </c>
      <c r="CC16" s="77">
        <v>2.120086621</v>
      </c>
      <c r="CD16" s="77">
        <v>1.9264617799999999</v>
      </c>
      <c r="CE16" s="68">
        <v>0.88948300999999996</v>
      </c>
    </row>
    <row r="17" spans="1:83" ht="14.4" customHeight="1" x14ac:dyDescent="0.3">
      <c r="A17" s="297" t="s">
        <v>369</v>
      </c>
      <c r="B17" s="297" t="s">
        <v>389</v>
      </c>
      <c r="C17" s="297" t="s">
        <v>527</v>
      </c>
      <c r="D17" s="297" t="s">
        <v>528</v>
      </c>
      <c r="E17" s="181" t="s">
        <v>704</v>
      </c>
      <c r="F17" s="157" t="s">
        <v>725</v>
      </c>
      <c r="G17" s="158" t="s">
        <v>335</v>
      </c>
      <c r="I17" s="159"/>
      <c r="J17" s="159" t="s">
        <v>267</v>
      </c>
      <c r="K17" s="159" t="s">
        <v>187</v>
      </c>
      <c r="L17" s="302"/>
      <c r="M17" s="302"/>
      <c r="N17" s="302"/>
      <c r="O17" s="302"/>
      <c r="P17" s="182">
        <v>11</v>
      </c>
      <c r="Q17" s="178">
        <v>-5.9398877240124648</v>
      </c>
      <c r="R17" s="140">
        <v>-9.774585116424106</v>
      </c>
      <c r="S17" s="140">
        <v>-2.3190653090230313</v>
      </c>
      <c r="T17" s="141">
        <v>-14.478438018039469</v>
      </c>
      <c r="U17" s="141">
        <v>-31.971312083478367</v>
      </c>
      <c r="V17" s="141">
        <v>-3.4794683280912295</v>
      </c>
      <c r="W17" s="142">
        <v>-21.650046363687224</v>
      </c>
      <c r="X17" s="142">
        <v>-45.850115217478923</v>
      </c>
      <c r="Y17" s="142">
        <v>-3.1703513456188119</v>
      </c>
      <c r="Z17" s="143">
        <v>0</v>
      </c>
      <c r="AA17" s="143">
        <v>0</v>
      </c>
      <c r="AB17" s="143">
        <v>0</v>
      </c>
      <c r="AC17" s="144">
        <v>-1.0999999999999943</v>
      </c>
      <c r="AD17" s="144">
        <v>-19.317627401837925</v>
      </c>
      <c r="AE17" s="144">
        <v>7.8492898913951592</v>
      </c>
      <c r="AF17" s="144">
        <v>-16.299999999999997</v>
      </c>
      <c r="AG17" s="144">
        <v>-40.635164835164829</v>
      </c>
      <c r="AH17" s="144">
        <v>2.0630036630036557</v>
      </c>
      <c r="AI17" s="61">
        <v>75.401062885962119</v>
      </c>
      <c r="AJ17" s="61">
        <v>14.865988350754733</v>
      </c>
      <c r="AK17" s="61">
        <v>9.7329487632831437</v>
      </c>
      <c r="AL17" s="27">
        <v>24.598937114037877</v>
      </c>
      <c r="AM17" s="146">
        <v>-5.3626070722716292</v>
      </c>
      <c r="AN17" s="146">
        <v>-8.2578489278621419</v>
      </c>
      <c r="AO17" s="146">
        <v>-2.5602861527861762</v>
      </c>
      <c r="AP17" s="146">
        <v>-12.712921358132022</v>
      </c>
      <c r="AQ17" s="146">
        <v>-30.142959284682277</v>
      </c>
      <c r="AR17" s="146">
        <v>-2.1974583750132837</v>
      </c>
      <c r="AS17" s="146">
        <v>-21.178600498098874</v>
      </c>
      <c r="AT17" s="146">
        <v>-45.276570325755451</v>
      </c>
      <c r="AU17" s="146">
        <v>-2.6474859152630756</v>
      </c>
      <c r="AV17" s="143">
        <v>0</v>
      </c>
      <c r="AW17" s="143">
        <v>0</v>
      </c>
      <c r="AX17" s="143">
        <v>0</v>
      </c>
      <c r="AY17" s="144">
        <v>-1.0999999999999943</v>
      </c>
      <c r="AZ17" s="144">
        <v>-19.317627401837925</v>
      </c>
      <c r="BA17" s="144">
        <v>7.8492898913951592</v>
      </c>
      <c r="BB17" s="144">
        <v>-16.299999999999997</v>
      </c>
      <c r="BC17" s="144">
        <v>-40.635164835164829</v>
      </c>
      <c r="BD17" s="144">
        <v>2.0630036630036557</v>
      </c>
      <c r="BE17" s="59">
        <v>80.211734983802543</v>
      </c>
      <c r="BF17" s="59">
        <v>10.055316252914306</v>
      </c>
      <c r="BG17" s="59">
        <v>9.7329487632831437</v>
      </c>
      <c r="BH17" s="60">
        <v>19.78826501619745</v>
      </c>
      <c r="BI17" s="215" t="s">
        <v>356</v>
      </c>
      <c r="BK17" s="455">
        <v>0.177702048</v>
      </c>
      <c r="BL17" s="456">
        <v>4.8021234350000004</v>
      </c>
      <c r="BM17" s="456">
        <v>10.03744775</v>
      </c>
      <c r="BN17" s="456">
        <v>7.2505849260000002</v>
      </c>
      <c r="BO17" s="456">
        <v>2.465068188</v>
      </c>
      <c r="BP17" s="165">
        <f t="shared" si="0"/>
        <v>99.822297952</v>
      </c>
      <c r="BQ17" s="26">
        <v>0.23722432600000001</v>
      </c>
      <c r="BR17" s="77">
        <v>2.3869480460000001</v>
      </c>
      <c r="BS17" s="77">
        <v>4.8823483860000003</v>
      </c>
      <c r="BT17" s="77">
        <v>3.4724160390000001</v>
      </c>
      <c r="BU17" s="68">
        <v>1.121454154</v>
      </c>
      <c r="BV17" s="77">
        <v>0.53310373099999997</v>
      </c>
      <c r="BW17" s="77">
        <v>6.1612779030000002</v>
      </c>
      <c r="BX17" s="77">
        <v>12.55555706</v>
      </c>
      <c r="BY17" s="77">
        <v>8.9723779310000005</v>
      </c>
      <c r="BZ17" s="77">
        <v>2.5473834719999999</v>
      </c>
      <c r="CA17" s="26">
        <v>0.27208953800000002</v>
      </c>
      <c r="CB17" s="77">
        <v>4.2591679820000001</v>
      </c>
      <c r="CC17" s="77">
        <v>9.1201442509999993</v>
      </c>
      <c r="CD17" s="77">
        <v>6.4010329280000002</v>
      </c>
      <c r="CE17" s="68">
        <v>1.5315097769999999</v>
      </c>
    </row>
    <row r="18" spans="1:83" ht="14.4" customHeight="1" x14ac:dyDescent="0.3">
      <c r="A18" s="41" t="s">
        <v>369</v>
      </c>
      <c r="B18" s="41" t="s">
        <v>459</v>
      </c>
      <c r="C18" s="146" t="s">
        <v>492</v>
      </c>
      <c r="D18" s="146" t="s">
        <v>493</v>
      </c>
      <c r="E18" s="181" t="s">
        <v>200</v>
      </c>
      <c r="F18" s="157" t="s">
        <v>899</v>
      </c>
      <c r="G18" s="158" t="s">
        <v>335</v>
      </c>
      <c r="J18" s="156" t="s">
        <v>267</v>
      </c>
      <c r="K18" s="156" t="s">
        <v>201</v>
      </c>
      <c r="L18" s="303"/>
      <c r="M18" s="303"/>
      <c r="N18" s="303"/>
      <c r="O18" s="306" t="s">
        <v>267</v>
      </c>
      <c r="P18" s="182">
        <v>12</v>
      </c>
      <c r="Q18" s="178">
        <v>-39.160525326974998</v>
      </c>
      <c r="R18" s="140">
        <v>-46.086678584658927</v>
      </c>
      <c r="S18" s="140">
        <v>-31.371632047843008</v>
      </c>
      <c r="T18" s="141">
        <v>-43.809342990500994</v>
      </c>
      <c r="U18" s="141">
        <v>-61.821688511810713</v>
      </c>
      <c r="V18" s="141">
        <v>-27.23822266860553</v>
      </c>
      <c r="W18" s="142">
        <v>-33.126225437003995</v>
      </c>
      <c r="X18" s="142">
        <v>-57.987640308001119</v>
      </c>
      <c r="Y18" s="142">
        <v>-8.8504104155662588</v>
      </c>
      <c r="Z18" s="143">
        <v>0</v>
      </c>
      <c r="AA18" s="143">
        <v>0</v>
      </c>
      <c r="AB18" s="143">
        <v>0</v>
      </c>
      <c r="AC18" s="144">
        <v>-0.29999999999999716</v>
      </c>
      <c r="AD18" s="144">
        <v>-18.86984126984126</v>
      </c>
      <c r="AE18" s="144">
        <v>10.050793650793651</v>
      </c>
      <c r="AF18" s="144">
        <v>-3.5</v>
      </c>
      <c r="AG18" s="144">
        <v>-26.447619047619042</v>
      </c>
      <c r="AH18" s="144">
        <v>20.685714285714283</v>
      </c>
      <c r="AI18" s="61">
        <v>37.460295737000003</v>
      </c>
      <c r="AJ18" s="61">
        <v>11.192689793</v>
      </c>
      <c r="AK18" s="61">
        <v>51.347014469999998</v>
      </c>
      <c r="AL18" s="27">
        <v>62.539704262999997</v>
      </c>
      <c r="AM18" s="146">
        <v>-37.525529152484992</v>
      </c>
      <c r="AN18" s="146">
        <v>-43.508665720160735</v>
      </c>
      <c r="AO18" s="146">
        <v>-30.736170949639856</v>
      </c>
      <c r="AP18" s="146">
        <v>-41.800633404698999</v>
      </c>
      <c r="AQ18" s="146">
        <v>-59.596791979076905</v>
      </c>
      <c r="AR18" s="146">
        <v>-25.788517821725904</v>
      </c>
      <c r="AS18" s="146">
        <v>-32.150418196356</v>
      </c>
      <c r="AT18" s="146">
        <v>-56.684472591367665</v>
      </c>
      <c r="AU18" s="146">
        <v>-7.6238448221611321</v>
      </c>
      <c r="AV18" s="143">
        <v>0</v>
      </c>
      <c r="AW18" s="143">
        <v>0</v>
      </c>
      <c r="AX18" s="143">
        <v>0</v>
      </c>
      <c r="AY18" s="144">
        <v>-0.29999999999999716</v>
      </c>
      <c r="AZ18" s="144">
        <v>-18.86984126984126</v>
      </c>
      <c r="BA18" s="144">
        <v>10.050793650793651</v>
      </c>
      <c r="BB18" s="144">
        <v>-3.5</v>
      </c>
      <c r="BC18" s="144">
        <v>-26.447619047619042</v>
      </c>
      <c r="BD18" s="144">
        <v>20.685714285714283</v>
      </c>
      <c r="BE18" s="59">
        <v>42.650759783000005</v>
      </c>
      <c r="BF18" s="59">
        <v>6.0022257469999998</v>
      </c>
      <c r="BG18" s="59">
        <v>51.347014469999998</v>
      </c>
      <c r="BH18" s="60">
        <v>57.349240216999995</v>
      </c>
      <c r="BI18" s="215" t="s">
        <v>356</v>
      </c>
      <c r="BK18" s="455">
        <v>0</v>
      </c>
      <c r="BL18" s="456">
        <v>5.1904640459999998</v>
      </c>
      <c r="BM18" s="456">
        <v>6.0022257469999998</v>
      </c>
      <c r="BN18" s="456">
        <v>13.84927766</v>
      </c>
      <c r="BO18" s="456">
        <v>37.497736809999999</v>
      </c>
      <c r="BP18" s="165">
        <f t="shared" si="0"/>
        <v>100</v>
      </c>
      <c r="BQ18" s="26">
        <v>0</v>
      </c>
      <c r="BR18" s="77">
        <v>11.13738478</v>
      </c>
      <c r="BS18" s="77">
        <v>8.8490056119999991</v>
      </c>
      <c r="BT18" s="77">
        <v>10.69318324</v>
      </c>
      <c r="BU18" s="68">
        <v>20.14897058</v>
      </c>
      <c r="BV18" s="77">
        <v>0</v>
      </c>
      <c r="BW18" s="77">
        <v>12.416589330000001</v>
      </c>
      <c r="BX18" s="77">
        <v>9.7799095339999997</v>
      </c>
      <c r="BY18" s="77">
        <v>11.73738872</v>
      </c>
      <c r="BZ18" s="77">
        <v>22.64788222</v>
      </c>
      <c r="CA18" s="26" t="s">
        <v>220</v>
      </c>
      <c r="CB18" s="77" t="s">
        <v>220</v>
      </c>
      <c r="CC18" s="77" t="s">
        <v>220</v>
      </c>
      <c r="CD18" s="77" t="s">
        <v>220</v>
      </c>
      <c r="CE18" s="68" t="s">
        <v>220</v>
      </c>
    </row>
    <row r="19" spans="1:83" ht="14.4" customHeight="1" x14ac:dyDescent="0.3">
      <c r="A19" s="41" t="s">
        <v>369</v>
      </c>
      <c r="B19" s="41" t="s">
        <v>453</v>
      </c>
      <c r="C19" s="146" t="s">
        <v>495</v>
      </c>
      <c r="D19" s="146" t="s">
        <v>496</v>
      </c>
      <c r="E19" s="181" t="s">
        <v>200</v>
      </c>
      <c r="F19" s="157" t="s">
        <v>494</v>
      </c>
      <c r="G19" s="158" t="s">
        <v>335</v>
      </c>
      <c r="J19" s="156" t="s">
        <v>188</v>
      </c>
      <c r="K19" s="156" t="s">
        <v>201</v>
      </c>
      <c r="L19" s="303"/>
      <c r="M19" s="303"/>
      <c r="N19" s="303"/>
      <c r="O19" s="303"/>
      <c r="P19" s="182">
        <v>13</v>
      </c>
      <c r="Q19" s="178">
        <v>-51.935008196620004</v>
      </c>
      <c r="R19" s="140">
        <v>-56.464409534401454</v>
      </c>
      <c r="S19" s="140">
        <v>-46.247955772289828</v>
      </c>
      <c r="T19" s="141">
        <v>-56.172290979002007</v>
      </c>
      <c r="U19" s="141">
        <v>-67.781832710137564</v>
      </c>
      <c r="V19" s="141">
        <v>-41.083115993539948</v>
      </c>
      <c r="W19" s="142">
        <v>-30.49472126503801</v>
      </c>
      <c r="X19" s="142">
        <v>-61.275678462535005</v>
      </c>
      <c r="Y19" s="142">
        <v>-2.745123391750397</v>
      </c>
      <c r="Z19" s="143">
        <v>0</v>
      </c>
      <c r="AA19" s="143">
        <v>0</v>
      </c>
      <c r="AB19" s="143">
        <v>0</v>
      </c>
      <c r="AC19" s="144">
        <v>-0.20000000000000284</v>
      </c>
      <c r="AD19" s="144">
        <v>-19.748538011695899</v>
      </c>
      <c r="AE19" s="144">
        <v>9.8830409356725113</v>
      </c>
      <c r="AF19" s="144">
        <v>-5</v>
      </c>
      <c r="AG19" s="144">
        <v>-28.388888888888886</v>
      </c>
      <c r="AH19" s="144">
        <v>14.111111111111114</v>
      </c>
      <c r="AI19" s="61">
        <v>32.143407983999992</v>
      </c>
      <c r="AJ19" s="61">
        <v>11.247951146</v>
      </c>
      <c r="AK19" s="61">
        <v>56.608640870000002</v>
      </c>
      <c r="AL19" s="27">
        <v>67.856592016000008</v>
      </c>
      <c r="AM19" s="146">
        <v>-49.737546423309993</v>
      </c>
      <c r="AN19" s="146">
        <v>-53.479911650928599</v>
      </c>
      <c r="AO19" s="146">
        <v>-44.877683065133382</v>
      </c>
      <c r="AP19" s="146">
        <v>-53.657985880238002</v>
      </c>
      <c r="AQ19" s="146">
        <v>-65.433286527706684</v>
      </c>
      <c r="AR19" s="146">
        <v>-39.639695567698482</v>
      </c>
      <c r="AS19" s="146">
        <v>-29.585074298411996</v>
      </c>
      <c r="AT19" s="146">
        <v>-59.79625739829681</v>
      </c>
      <c r="AU19" s="146">
        <v>-2.1999619054724775</v>
      </c>
      <c r="AV19" s="143">
        <v>0</v>
      </c>
      <c r="AW19" s="143">
        <v>0</v>
      </c>
      <c r="AX19" s="143">
        <v>0</v>
      </c>
      <c r="AY19" s="144">
        <v>-0.20000000000000284</v>
      </c>
      <c r="AZ19" s="144">
        <v>-19.748538011695899</v>
      </c>
      <c r="BA19" s="144">
        <v>9.8830409356725113</v>
      </c>
      <c r="BB19" s="144">
        <v>-5</v>
      </c>
      <c r="BC19" s="144">
        <v>-28.388888888888886</v>
      </c>
      <c r="BD19" s="144">
        <v>14.111111111111114</v>
      </c>
      <c r="BE19" s="59">
        <v>37.253784201000002</v>
      </c>
      <c r="BF19" s="59">
        <v>6.1375749290000003</v>
      </c>
      <c r="BG19" s="59">
        <v>56.608640870000002</v>
      </c>
      <c r="BH19" s="60">
        <v>62.746215799000005</v>
      </c>
      <c r="BI19" s="215" t="s">
        <v>356</v>
      </c>
      <c r="BK19" s="455">
        <v>0</v>
      </c>
      <c r="BL19" s="456">
        <v>5.1103762169999998</v>
      </c>
      <c r="BM19" s="456">
        <v>6.1375749290000003</v>
      </c>
      <c r="BN19" s="456">
        <v>15.055679919999999</v>
      </c>
      <c r="BO19" s="456">
        <v>41.552960949999999</v>
      </c>
      <c r="BP19" s="165">
        <f t="shared" si="0"/>
        <v>100</v>
      </c>
      <c r="BQ19" s="26">
        <v>0</v>
      </c>
      <c r="BR19" s="77">
        <v>12.033609719999999</v>
      </c>
      <c r="BS19" s="77">
        <v>9.9600920500000001</v>
      </c>
      <c r="BT19" s="77">
        <v>12.984705659999999</v>
      </c>
      <c r="BU19" s="68">
        <v>24.990775360000001</v>
      </c>
      <c r="BV19" s="77">
        <v>0</v>
      </c>
      <c r="BW19" s="77">
        <v>12.790791240000001</v>
      </c>
      <c r="BX19" s="77">
        <v>10.66665025</v>
      </c>
      <c r="BY19" s="77">
        <v>13.90459603</v>
      </c>
      <c r="BZ19" s="77">
        <v>27.096562200000001</v>
      </c>
      <c r="CA19" s="26">
        <v>0</v>
      </c>
      <c r="CB19" s="77">
        <v>9.1119419560000008</v>
      </c>
      <c r="CC19" s="77">
        <v>8.712149256</v>
      </c>
      <c r="CD19" s="77">
        <v>12.758199449999999</v>
      </c>
      <c r="CE19" s="68">
        <v>25.586732810000001</v>
      </c>
    </row>
    <row r="20" spans="1:83" ht="14.4" customHeight="1" x14ac:dyDescent="0.3">
      <c r="A20" s="86" t="s">
        <v>369</v>
      </c>
      <c r="B20" s="86" t="s">
        <v>423</v>
      </c>
      <c r="C20" s="147" t="s">
        <v>430</v>
      </c>
      <c r="D20" s="147" t="s">
        <v>431</v>
      </c>
      <c r="E20" s="181" t="s">
        <v>186</v>
      </c>
      <c r="F20" s="157" t="s">
        <v>727</v>
      </c>
      <c r="G20" s="158" t="s">
        <v>185</v>
      </c>
      <c r="I20" s="159" t="s">
        <v>188</v>
      </c>
      <c r="J20" s="159" t="s">
        <v>188</v>
      </c>
      <c r="K20" s="159" t="s">
        <v>188</v>
      </c>
      <c r="L20" s="302"/>
      <c r="M20" s="302"/>
      <c r="N20" s="302"/>
      <c r="O20" s="302"/>
      <c r="P20" s="182">
        <v>14</v>
      </c>
      <c r="Q20" s="178">
        <v>-15.964842974773077</v>
      </c>
      <c r="R20" s="140">
        <v>-20.805252898545433</v>
      </c>
      <c r="S20" s="140">
        <v>-8.9972929189328568</v>
      </c>
      <c r="T20" s="141">
        <v>-19.569662367734225</v>
      </c>
      <c r="U20" s="141">
        <v>-33.800644664579167</v>
      </c>
      <c r="V20" s="141">
        <v>-6.1670378166950712</v>
      </c>
      <c r="W20" s="142">
        <v>-11.111469416134895</v>
      </c>
      <c r="X20" s="142">
        <v>-30.224054965724036</v>
      </c>
      <c r="Y20" s="142">
        <v>7.7935919624407006</v>
      </c>
      <c r="Z20" s="143">
        <v>0</v>
      </c>
      <c r="AA20" s="143">
        <v>0</v>
      </c>
      <c r="AB20" s="143">
        <v>0</v>
      </c>
      <c r="AC20" s="144">
        <v>-1.4000000000000057</v>
      </c>
      <c r="AD20" s="144">
        <v>-15.232748538011705</v>
      </c>
      <c r="AE20" s="144">
        <v>7.6198830409356617</v>
      </c>
      <c r="AF20" s="144">
        <v>-3.9000000000000057</v>
      </c>
      <c r="AG20" s="144">
        <v>-19.043835077890805</v>
      </c>
      <c r="AH20" s="144">
        <v>15.936272052680721</v>
      </c>
      <c r="AI20" s="61">
        <v>56.855351117478293</v>
      </c>
      <c r="AJ20" s="61">
        <v>24.81273864545987</v>
      </c>
      <c r="AK20" s="61">
        <v>18.331910237061834</v>
      </c>
      <c r="AL20" s="27">
        <v>43.144648882521707</v>
      </c>
      <c r="AM20" s="146">
        <v>-14.298893922199071</v>
      </c>
      <c r="AN20" s="146">
        <v>-18.075390963050893</v>
      </c>
      <c r="AO20" s="146">
        <v>-8.8071781189169229</v>
      </c>
      <c r="AP20" s="146">
        <v>-17.357073782284388</v>
      </c>
      <c r="AQ20" s="146">
        <v>-31.724079879827045</v>
      </c>
      <c r="AR20" s="146">
        <v>-4.6280008186169681</v>
      </c>
      <c r="AS20" s="146">
        <v>-10.660274881062762</v>
      </c>
      <c r="AT20" s="146">
        <v>-29.139262117058252</v>
      </c>
      <c r="AU20" s="146">
        <v>8.7397578370940749</v>
      </c>
      <c r="AV20" s="143">
        <v>0</v>
      </c>
      <c r="AW20" s="143">
        <v>0</v>
      </c>
      <c r="AX20" s="143">
        <v>0</v>
      </c>
      <c r="AY20" s="144">
        <v>-1.4000000000000057</v>
      </c>
      <c r="AZ20" s="144">
        <v>-15.232748538011705</v>
      </c>
      <c r="BA20" s="144">
        <v>7.6198830409356617</v>
      </c>
      <c r="BB20" s="144">
        <v>-3.9000000000000057</v>
      </c>
      <c r="BC20" s="144">
        <v>-19.043835077890805</v>
      </c>
      <c r="BD20" s="144">
        <v>15.936272052680721</v>
      </c>
      <c r="BE20" s="59">
        <v>65.53216909963453</v>
      </c>
      <c r="BF20" s="59">
        <v>16.135920663303637</v>
      </c>
      <c r="BG20" s="59">
        <v>18.331910237061834</v>
      </c>
      <c r="BH20" s="60">
        <v>34.46783090036547</v>
      </c>
      <c r="BI20" s="215" t="s">
        <v>356</v>
      </c>
      <c r="BK20" s="455">
        <v>0.51783951500000003</v>
      </c>
      <c r="BL20" s="456">
        <v>8.6318859900000007</v>
      </c>
      <c r="BM20" s="456">
        <v>16.05236249</v>
      </c>
      <c r="BN20" s="456">
        <v>12.853343969999999</v>
      </c>
      <c r="BO20" s="456">
        <v>5.3836363919999997</v>
      </c>
      <c r="BP20" s="165">
        <f t="shared" si="0"/>
        <v>99.482160484999994</v>
      </c>
      <c r="BQ20" s="26">
        <v>1.2549687309999999</v>
      </c>
      <c r="BR20" s="77">
        <v>6.4162374370000004</v>
      </c>
      <c r="BS20" s="77">
        <v>11.47096938</v>
      </c>
      <c r="BT20" s="77">
        <v>9.0046445560000006</v>
      </c>
      <c r="BU20" s="68">
        <v>3.6286752789999999</v>
      </c>
      <c r="BV20" s="77">
        <v>0.920291733</v>
      </c>
      <c r="BW20" s="77">
        <v>9.1291128720000003</v>
      </c>
      <c r="BX20" s="77">
        <v>16.394689830000001</v>
      </c>
      <c r="BY20" s="77">
        <v>13.02505786</v>
      </c>
      <c r="BZ20" s="77">
        <v>5.293254954</v>
      </c>
      <c r="CA20" s="26">
        <v>0.48536867299999997</v>
      </c>
      <c r="CB20" s="77">
        <v>8.7613869710000003</v>
      </c>
      <c r="CC20" s="77">
        <v>15.59734536</v>
      </c>
      <c r="CD20" s="77">
        <v>12.759700560000001</v>
      </c>
      <c r="CE20" s="68">
        <v>5.8149851809999999</v>
      </c>
    </row>
    <row r="21" spans="1:83" ht="14.4" customHeight="1" x14ac:dyDescent="0.3">
      <c r="A21" s="297" t="s">
        <v>369</v>
      </c>
      <c r="B21" s="297" t="s">
        <v>423</v>
      </c>
      <c r="C21" s="297" t="s">
        <v>428</v>
      </c>
      <c r="D21" s="297" t="s">
        <v>429</v>
      </c>
      <c r="E21" s="181" t="s">
        <v>186</v>
      </c>
      <c r="F21" s="157" t="s">
        <v>727</v>
      </c>
      <c r="G21" s="158" t="s">
        <v>335</v>
      </c>
      <c r="I21" s="159"/>
      <c r="J21" s="159" t="s">
        <v>188</v>
      </c>
      <c r="K21" s="159" t="s">
        <v>188</v>
      </c>
      <c r="L21" s="302"/>
      <c r="M21" s="302"/>
      <c r="N21" s="302"/>
      <c r="O21" s="302"/>
      <c r="P21" s="182">
        <v>14.1</v>
      </c>
      <c r="Q21" s="178">
        <v>-15.927242287560361</v>
      </c>
      <c r="R21" s="140">
        <v>-21.592646094681911</v>
      </c>
      <c r="S21" s="140">
        <v>-7.8553996588106401</v>
      </c>
      <c r="T21" s="141">
        <v>-20.000682966471956</v>
      </c>
      <c r="U21" s="141">
        <v>-33.964936436482148</v>
      </c>
      <c r="V21" s="141">
        <v>-6.284774194012158</v>
      </c>
      <c r="W21" s="142">
        <v>-10.643471892902937</v>
      </c>
      <c r="X21" s="142">
        <v>-30.075176840350366</v>
      </c>
      <c r="Y21" s="142">
        <v>7.6683820078258265</v>
      </c>
      <c r="Z21" s="143">
        <v>0</v>
      </c>
      <c r="AA21" s="143">
        <v>0</v>
      </c>
      <c r="AB21" s="143">
        <v>0</v>
      </c>
      <c r="AC21" s="144">
        <v>-1.4000000000000057</v>
      </c>
      <c r="AD21" s="144">
        <v>-15.232748538011705</v>
      </c>
      <c r="AE21" s="144">
        <v>7.6198830409356617</v>
      </c>
      <c r="AF21" s="144">
        <v>-3.9000000000000057</v>
      </c>
      <c r="AG21" s="144">
        <v>-19.043835077890805</v>
      </c>
      <c r="AH21" s="144">
        <v>15.936272052680721</v>
      </c>
      <c r="AI21" s="61">
        <v>50.708638513340333</v>
      </c>
      <c r="AJ21" s="61">
        <v>33.865822388517145</v>
      </c>
      <c r="AK21" s="61">
        <v>15.425539098142524</v>
      </c>
      <c r="AL21" s="27">
        <v>49.291361486659667</v>
      </c>
      <c r="AM21" s="146">
        <v>-13.62913541914422</v>
      </c>
      <c r="AN21" s="146">
        <v>-17.826916011823243</v>
      </c>
      <c r="AO21" s="146">
        <v>-7.5931442632875132</v>
      </c>
      <c r="AP21" s="146">
        <v>-16.948509781856743</v>
      </c>
      <c r="AQ21" s="146">
        <v>-31.100402381748182</v>
      </c>
      <c r="AR21" s="146">
        <v>-4.1617371836274799</v>
      </c>
      <c r="AS21" s="146">
        <v>-10.021067949373546</v>
      </c>
      <c r="AT21" s="146">
        <v>-28.578750588613673</v>
      </c>
      <c r="AU21" s="146">
        <v>8.97357816123899</v>
      </c>
      <c r="AV21" s="143">
        <v>0</v>
      </c>
      <c r="AW21" s="143">
        <v>0</v>
      </c>
      <c r="AX21" s="143">
        <v>0</v>
      </c>
      <c r="AY21" s="144">
        <v>-1.4000000000000057</v>
      </c>
      <c r="AZ21" s="144">
        <v>-15.232748538011705</v>
      </c>
      <c r="BA21" s="144">
        <v>7.6198830409356617</v>
      </c>
      <c r="BB21" s="144">
        <v>-3.9000000000000057</v>
      </c>
      <c r="BC21" s="144">
        <v>-19.043835077890805</v>
      </c>
      <c r="BD21" s="144">
        <v>15.936272052680721</v>
      </c>
      <c r="BE21" s="59">
        <v>62.677945119674433</v>
      </c>
      <c r="BF21" s="59">
        <v>21.896515782183048</v>
      </c>
      <c r="BG21" s="59">
        <v>15.425539098142524</v>
      </c>
      <c r="BH21" s="60">
        <v>37.322054880325574</v>
      </c>
      <c r="BI21" s="215" t="s">
        <v>356</v>
      </c>
      <c r="BK21" s="455">
        <v>0.28426021200000001</v>
      </c>
      <c r="BL21" s="456">
        <v>11.93528263</v>
      </c>
      <c r="BM21" s="456">
        <v>21.8342727</v>
      </c>
      <c r="BN21" s="456">
        <v>13.58688751</v>
      </c>
      <c r="BO21" s="456">
        <v>1.794802918</v>
      </c>
      <c r="BP21" s="165">
        <f t="shared" si="0"/>
        <v>99.715739787999993</v>
      </c>
      <c r="BQ21" s="26">
        <v>0.49233295700000002</v>
      </c>
      <c r="BR21" s="77">
        <v>7.7252413600000001</v>
      </c>
      <c r="BS21" s="77">
        <v>14.39461846</v>
      </c>
      <c r="BT21" s="77">
        <v>8.9950489729999994</v>
      </c>
      <c r="BU21" s="68">
        <v>1.1695586609999999</v>
      </c>
      <c r="BV21" s="77">
        <v>0.334552611</v>
      </c>
      <c r="BW21" s="77">
        <v>14.384098059999999</v>
      </c>
      <c r="BX21" s="77">
        <v>18.020367629999999</v>
      </c>
      <c r="BY21" s="77">
        <v>10.375141190000001</v>
      </c>
      <c r="BZ21" s="77">
        <v>1.6205999179999999</v>
      </c>
      <c r="CA21" s="26" t="s">
        <v>220</v>
      </c>
      <c r="CB21" s="77" t="s">
        <v>220</v>
      </c>
      <c r="CC21" s="77" t="s">
        <v>220</v>
      </c>
      <c r="CD21" s="77" t="s">
        <v>220</v>
      </c>
      <c r="CE21" s="68" t="s">
        <v>220</v>
      </c>
    </row>
    <row r="22" spans="1:83" ht="14.4" customHeight="1" x14ac:dyDescent="0.3">
      <c r="A22" s="297" t="s">
        <v>369</v>
      </c>
      <c r="B22" s="297" t="s">
        <v>423</v>
      </c>
      <c r="C22" s="297" t="s">
        <v>539</v>
      </c>
      <c r="D22" s="297" t="s">
        <v>540</v>
      </c>
      <c r="E22" s="181" t="s">
        <v>186</v>
      </c>
      <c r="F22" s="157" t="s">
        <v>727</v>
      </c>
      <c r="G22" s="158" t="s">
        <v>335</v>
      </c>
      <c r="I22" s="159"/>
      <c r="J22" s="159" t="s">
        <v>188</v>
      </c>
      <c r="K22" s="159" t="s">
        <v>188</v>
      </c>
      <c r="L22" s="302"/>
      <c r="M22" s="302"/>
      <c r="N22" s="302"/>
      <c r="O22" s="302"/>
      <c r="P22" s="182">
        <v>14.2</v>
      </c>
      <c r="Q22" s="178">
        <v>-21.421734628362202</v>
      </c>
      <c r="R22" s="140">
        <v>-27.53286857612683</v>
      </c>
      <c r="S22" s="140">
        <v>-12.586838315157365</v>
      </c>
      <c r="T22" s="141">
        <v>-25.562777124902183</v>
      </c>
      <c r="U22" s="141">
        <v>-40.051830696709494</v>
      </c>
      <c r="V22" s="141">
        <v>-10.810581486623576</v>
      </c>
      <c r="W22" s="142">
        <v>-13.783335903552342</v>
      </c>
      <c r="X22" s="142">
        <v>-34.101757627982877</v>
      </c>
      <c r="Y22" s="142">
        <v>5.0766177789924853</v>
      </c>
      <c r="Z22" s="143">
        <v>0</v>
      </c>
      <c r="AA22" s="143">
        <v>0</v>
      </c>
      <c r="AB22" s="143">
        <v>0</v>
      </c>
      <c r="AC22" s="144">
        <v>-1.4000000000000057</v>
      </c>
      <c r="AD22" s="144">
        <v>-15.232748538011705</v>
      </c>
      <c r="AE22" s="144">
        <v>7.6198830409356617</v>
      </c>
      <c r="AF22" s="144">
        <v>-3.9000000000000057</v>
      </c>
      <c r="AG22" s="144">
        <v>-19.043835077890805</v>
      </c>
      <c r="AH22" s="144">
        <v>15.936272052680721</v>
      </c>
      <c r="AI22" s="61">
        <v>44.975124299109766</v>
      </c>
      <c r="AJ22" s="61">
        <v>29.113280250314372</v>
      </c>
      <c r="AK22" s="61">
        <v>25.911595450575863</v>
      </c>
      <c r="AL22" s="27">
        <v>55.024875700890234</v>
      </c>
      <c r="AM22" s="146">
        <v>-19.66904189097653</v>
      </c>
      <c r="AN22" s="146">
        <v>-24.660866469571189</v>
      </c>
      <c r="AO22" s="146">
        <v>-12.386824497962522</v>
      </c>
      <c r="AP22" s="146">
        <v>-23.234982083061809</v>
      </c>
      <c r="AQ22" s="146">
        <v>-37.867142028516092</v>
      </c>
      <c r="AR22" s="146">
        <v>-9.1914089405414501</v>
      </c>
      <c r="AS22" s="146">
        <v>-13.30864828717705</v>
      </c>
      <c r="AT22" s="146">
        <v>-32.960481101856928</v>
      </c>
      <c r="AU22" s="146">
        <v>6.0720492144886151</v>
      </c>
      <c r="AV22" s="143">
        <v>0</v>
      </c>
      <c r="AW22" s="143">
        <v>0</v>
      </c>
      <c r="AX22" s="143">
        <v>0</v>
      </c>
      <c r="AY22" s="144">
        <v>-1.4000000000000057</v>
      </c>
      <c r="AZ22" s="144">
        <v>-15.232748538011705</v>
      </c>
      <c r="BA22" s="144">
        <v>7.6198830409356617</v>
      </c>
      <c r="BB22" s="144">
        <v>-3.9000000000000057</v>
      </c>
      <c r="BC22" s="144">
        <v>-19.043835077890805</v>
      </c>
      <c r="BD22" s="144">
        <v>15.936272052680721</v>
      </c>
      <c r="BE22" s="59">
        <v>54.103732306326904</v>
      </c>
      <c r="BF22" s="59">
        <v>19.984672243097236</v>
      </c>
      <c r="BG22" s="59">
        <v>25.911595450575863</v>
      </c>
      <c r="BH22" s="60">
        <v>45.896267693673096</v>
      </c>
      <c r="BI22" s="215" t="s">
        <v>356</v>
      </c>
      <c r="BK22" s="455">
        <v>0.51349785400000003</v>
      </c>
      <c r="BL22" s="456">
        <v>9.0817328009999994</v>
      </c>
      <c r="BM22" s="456">
        <v>19.88205138</v>
      </c>
      <c r="BN22" s="456">
        <v>17.515009079999999</v>
      </c>
      <c r="BO22" s="456">
        <v>8.2635308839999997</v>
      </c>
      <c r="BP22" s="165">
        <f t="shared" si="0"/>
        <v>99.486502146000007</v>
      </c>
      <c r="BQ22" s="26">
        <v>1.073339211</v>
      </c>
      <c r="BR22" s="77">
        <v>6.4991920329999999</v>
      </c>
      <c r="BS22" s="77">
        <v>13.51021231</v>
      </c>
      <c r="BT22" s="77">
        <v>11.62832399</v>
      </c>
      <c r="BU22" s="68">
        <v>5.3720566319999996</v>
      </c>
      <c r="BV22" s="77">
        <v>1.193976404</v>
      </c>
      <c r="BW22" s="77">
        <v>9.7691453530000008</v>
      </c>
      <c r="BX22" s="77">
        <v>20.149270019999999</v>
      </c>
      <c r="BY22" s="77">
        <v>16.389600210000001</v>
      </c>
      <c r="BZ22" s="77">
        <v>6.642219206</v>
      </c>
      <c r="CA22" s="26" t="s">
        <v>220</v>
      </c>
      <c r="CB22" s="77" t="s">
        <v>220</v>
      </c>
      <c r="CC22" s="77" t="s">
        <v>220</v>
      </c>
      <c r="CD22" s="77" t="s">
        <v>220</v>
      </c>
      <c r="CE22" s="68" t="s">
        <v>220</v>
      </c>
    </row>
    <row r="23" spans="1:83" ht="14.4" customHeight="1" x14ac:dyDescent="0.3">
      <c r="A23" s="297" t="s">
        <v>369</v>
      </c>
      <c r="B23" s="297" t="s">
        <v>423</v>
      </c>
      <c r="C23" s="297" t="s">
        <v>426</v>
      </c>
      <c r="D23" s="297" t="s">
        <v>427</v>
      </c>
      <c r="E23" s="181" t="s">
        <v>186</v>
      </c>
      <c r="F23" s="157" t="s">
        <v>727</v>
      </c>
      <c r="G23" s="158" t="s">
        <v>335</v>
      </c>
      <c r="I23" s="159"/>
      <c r="J23" s="159" t="s">
        <v>188</v>
      </c>
      <c r="K23" s="159" t="s">
        <v>188</v>
      </c>
      <c r="L23" s="302"/>
      <c r="M23" s="302"/>
      <c r="N23" s="302"/>
      <c r="O23" s="302"/>
      <c r="P23" s="182">
        <v>14.3</v>
      </c>
      <c r="Q23" s="178">
        <v>-14.691372629211571</v>
      </c>
      <c r="R23" s="140">
        <v>-18.768053493448889</v>
      </c>
      <c r="S23" s="140">
        <v>-8.7855899496976235</v>
      </c>
      <c r="T23" s="141">
        <v>-17.906397662418243</v>
      </c>
      <c r="U23" s="141">
        <v>-32.22561581188944</v>
      </c>
      <c r="V23" s="141">
        <v>-4.9994769903965306</v>
      </c>
      <c r="W23" s="142">
        <v>-10.73985856992914</v>
      </c>
      <c r="X23" s="142">
        <v>-29.387568832563716</v>
      </c>
      <c r="Y23" s="142">
        <v>8.5083000775342015</v>
      </c>
      <c r="Z23" s="143">
        <v>0</v>
      </c>
      <c r="AA23" s="143">
        <v>0</v>
      </c>
      <c r="AB23" s="143">
        <v>0</v>
      </c>
      <c r="AC23" s="144">
        <v>-1.4000000000000057</v>
      </c>
      <c r="AD23" s="144">
        <v>-15.232748538011705</v>
      </c>
      <c r="AE23" s="144">
        <v>7.6198830409356617</v>
      </c>
      <c r="AF23" s="144">
        <v>-3.9000000000000057</v>
      </c>
      <c r="AG23" s="144">
        <v>-19.043835077890805</v>
      </c>
      <c r="AH23" s="144">
        <v>15.936272052680721</v>
      </c>
      <c r="AI23" s="61">
        <v>63.117932756380569</v>
      </c>
      <c r="AJ23" s="61">
        <v>18.71973855999979</v>
      </c>
      <c r="AK23" s="61">
        <v>18.162328683619634</v>
      </c>
      <c r="AL23" s="27">
        <v>36.882067243619424</v>
      </c>
      <c r="AM23" s="146">
        <v>-13.354821799361503</v>
      </c>
      <c r="AN23" s="146">
        <v>-16.577950963228062</v>
      </c>
      <c r="AO23" s="146">
        <v>-8.6330654212101052</v>
      </c>
      <c r="AP23" s="146">
        <v>-16.131291091523622</v>
      </c>
      <c r="AQ23" s="146">
        <v>-30.559637862558006</v>
      </c>
      <c r="AR23" s="146">
        <v>-3.7647446474277899</v>
      </c>
      <c r="AS23" s="146">
        <v>-10.377876053511415</v>
      </c>
      <c r="AT23" s="146">
        <v>-28.517265638201621</v>
      </c>
      <c r="AU23" s="146">
        <v>9.2673861870343046</v>
      </c>
      <c r="AV23" s="143">
        <v>0</v>
      </c>
      <c r="AW23" s="143">
        <v>0</v>
      </c>
      <c r="AX23" s="143">
        <v>0</v>
      </c>
      <c r="AY23" s="144">
        <v>-1.4000000000000057</v>
      </c>
      <c r="AZ23" s="144">
        <v>-15.232748538011705</v>
      </c>
      <c r="BA23" s="144">
        <v>7.6198830409356617</v>
      </c>
      <c r="BB23" s="144">
        <v>-3.9000000000000057</v>
      </c>
      <c r="BC23" s="144">
        <v>-19.043835077890805</v>
      </c>
      <c r="BD23" s="144">
        <v>15.936272052680721</v>
      </c>
      <c r="BE23" s="59">
        <v>70.079134995182955</v>
      </c>
      <c r="BF23" s="59">
        <v>11.758536321197408</v>
      </c>
      <c r="BG23" s="59">
        <v>18.162328683619634</v>
      </c>
      <c r="BH23" s="60">
        <v>29.920865004817042</v>
      </c>
      <c r="BI23" s="215" t="s">
        <v>356</v>
      </c>
      <c r="BK23" s="455">
        <v>0.68930791199999997</v>
      </c>
      <c r="BL23" s="456">
        <v>6.9132181209999999</v>
      </c>
      <c r="BM23" s="456">
        <v>11.677483799999999</v>
      </c>
      <c r="BN23" s="456">
        <v>10.87401468</v>
      </c>
      <c r="BO23" s="456">
        <v>7.1631196350000002</v>
      </c>
      <c r="BP23" s="165">
        <f t="shared" si="0"/>
        <v>99.310692087999996</v>
      </c>
      <c r="BQ23" s="26">
        <v>2.094216742</v>
      </c>
      <c r="BR23" s="77">
        <v>5.7011607250000003</v>
      </c>
      <c r="BS23" s="77">
        <v>8.8295210359999992</v>
      </c>
      <c r="BT23" s="77">
        <v>8.089252449</v>
      </c>
      <c r="BU23" s="68">
        <v>5.2511425559999996</v>
      </c>
      <c r="BV23" s="77">
        <v>1.3107059320000001</v>
      </c>
      <c r="BW23" s="77">
        <v>6.1518803030000004</v>
      </c>
      <c r="BX23" s="77">
        <v>12.52318818</v>
      </c>
      <c r="BY23" s="77">
        <v>11.82588767</v>
      </c>
      <c r="BZ23" s="77">
        <v>7.4635487119999997</v>
      </c>
      <c r="CA23" s="26" t="s">
        <v>220</v>
      </c>
      <c r="CB23" s="77" t="s">
        <v>220</v>
      </c>
      <c r="CC23" s="77" t="s">
        <v>220</v>
      </c>
      <c r="CD23" s="77" t="s">
        <v>220</v>
      </c>
      <c r="CE23" s="68" t="s">
        <v>220</v>
      </c>
    </row>
    <row r="24" spans="1:83" ht="14.4" customHeight="1" x14ac:dyDescent="0.3">
      <c r="A24" s="41" t="s">
        <v>369</v>
      </c>
      <c r="B24" s="41" t="s">
        <v>484</v>
      </c>
      <c r="C24" s="146" t="s">
        <v>535</v>
      </c>
      <c r="D24" s="146" t="s">
        <v>536</v>
      </c>
      <c r="E24" s="181" t="s">
        <v>200</v>
      </c>
      <c r="F24" s="157" t="s">
        <v>725</v>
      </c>
      <c r="G24" s="158" t="s">
        <v>185</v>
      </c>
      <c r="I24" s="156" t="s">
        <v>188</v>
      </c>
      <c r="J24" s="156" t="s">
        <v>188</v>
      </c>
      <c r="K24" s="156" t="s">
        <v>187</v>
      </c>
      <c r="L24" s="303"/>
      <c r="M24" s="303"/>
      <c r="N24" s="303"/>
      <c r="O24" s="303"/>
      <c r="P24" s="182">
        <v>15</v>
      </c>
      <c r="Q24" s="178">
        <v>-21.527135444054949</v>
      </c>
      <c r="R24" s="140">
        <v>-27.220207109620404</v>
      </c>
      <c r="S24" s="140">
        <v>-15.226011315196374</v>
      </c>
      <c r="T24" s="141">
        <v>-26.855517098878892</v>
      </c>
      <c r="U24" s="141">
        <v>-42.436715561931081</v>
      </c>
      <c r="V24" s="141">
        <v>-12.618926073933409</v>
      </c>
      <c r="W24" s="142">
        <v>-14.916947208905754</v>
      </c>
      <c r="X24" s="142">
        <v>-34.848631473006975</v>
      </c>
      <c r="Y24" s="142">
        <v>4.2687008730885054</v>
      </c>
      <c r="Z24" s="143">
        <v>0</v>
      </c>
      <c r="AA24" s="143">
        <v>0</v>
      </c>
      <c r="AB24" s="143">
        <v>0</v>
      </c>
      <c r="AC24" s="144">
        <v>-3.2999999999999972</v>
      </c>
      <c r="AD24" s="144">
        <v>-19.515204678362579</v>
      </c>
      <c r="AE24" s="144">
        <v>5.9467836257310012</v>
      </c>
      <c r="AF24" s="144">
        <v>-6</v>
      </c>
      <c r="AG24" s="144">
        <v>-25.332817337461307</v>
      </c>
      <c r="AH24" s="144">
        <v>11.862229102167191</v>
      </c>
      <c r="AI24" s="61">
        <v>52.814807194951186</v>
      </c>
      <c r="AJ24" s="61">
        <v>23.883414299107638</v>
      </c>
      <c r="AK24" s="61">
        <v>23.301778505941169</v>
      </c>
      <c r="AL24" s="27">
        <v>47.185192805048807</v>
      </c>
      <c r="AM24" s="146">
        <v>-19.630694827430347</v>
      </c>
      <c r="AN24" s="146">
        <v>-24.142460390897341</v>
      </c>
      <c r="AO24" s="146">
        <v>-14.704909586306783</v>
      </c>
      <c r="AP24" s="146">
        <v>-24.618689704911404</v>
      </c>
      <c r="AQ24" s="146">
        <v>-39.911161316449707</v>
      </c>
      <c r="AR24" s="146">
        <v>-11.261691857452206</v>
      </c>
      <c r="AS24" s="146">
        <v>-14.373949254573063</v>
      </c>
      <c r="AT24" s="146">
        <v>-34.155216749206943</v>
      </c>
      <c r="AU24" s="146">
        <v>4.5060716806900842</v>
      </c>
      <c r="AV24" s="143">
        <v>0</v>
      </c>
      <c r="AW24" s="143">
        <v>0</v>
      </c>
      <c r="AX24" s="143">
        <v>0</v>
      </c>
      <c r="AY24" s="144">
        <v>-3.2999999999999972</v>
      </c>
      <c r="AZ24" s="144">
        <v>-19.515204678362579</v>
      </c>
      <c r="BA24" s="144">
        <v>5.9467836257310012</v>
      </c>
      <c r="BB24" s="144">
        <v>-6</v>
      </c>
      <c r="BC24" s="144">
        <v>-25.332817337461307</v>
      </c>
      <c r="BD24" s="144">
        <v>11.862229102167191</v>
      </c>
      <c r="BE24" s="59">
        <v>60.919254274543491</v>
      </c>
      <c r="BF24" s="59">
        <v>15.778967219515341</v>
      </c>
      <c r="BG24" s="59">
        <v>23.301778505941169</v>
      </c>
      <c r="BH24" s="60">
        <v>39.080745725456509</v>
      </c>
      <c r="BI24" s="215" t="s">
        <v>356</v>
      </c>
      <c r="BK24" s="455">
        <v>0.68897791600000002</v>
      </c>
      <c r="BL24" s="456">
        <v>8.0486092290000002</v>
      </c>
      <c r="BM24" s="456">
        <v>15.67025362</v>
      </c>
      <c r="BN24" s="456">
        <v>14.82704255</v>
      </c>
      <c r="BO24" s="456">
        <v>8.3141918480000001</v>
      </c>
      <c r="BP24" s="165">
        <f t="shared" si="0"/>
        <v>99.311022084000001</v>
      </c>
      <c r="BQ24" s="26">
        <v>2.0832259400000002</v>
      </c>
      <c r="BR24" s="77">
        <v>7.2541964190000003</v>
      </c>
      <c r="BS24" s="77">
        <v>13.27575642</v>
      </c>
      <c r="BT24" s="77">
        <v>12.35888078</v>
      </c>
      <c r="BU24" s="68">
        <v>6.8266172559999996</v>
      </c>
      <c r="BV24" s="77">
        <v>1.043800657</v>
      </c>
      <c r="BW24" s="77">
        <v>8.4046352770000006</v>
      </c>
      <c r="BX24" s="77">
        <v>17.53189317</v>
      </c>
      <c r="BY24" s="77">
        <v>15.81006401</v>
      </c>
      <c r="BZ24" s="77">
        <v>9.0704501129999997</v>
      </c>
      <c r="CA24" s="26">
        <v>0.47548710399999999</v>
      </c>
      <c r="CB24" s="77">
        <v>7.9180691400000001</v>
      </c>
      <c r="CC24" s="77">
        <v>14.270216700000001</v>
      </c>
      <c r="CD24" s="77">
        <v>12.922457570000001</v>
      </c>
      <c r="CE24" s="68">
        <v>6.7946427109999998</v>
      </c>
    </row>
    <row r="25" spans="1:83" ht="14.4" customHeight="1" x14ac:dyDescent="0.3">
      <c r="A25" s="54" t="s">
        <v>369</v>
      </c>
      <c r="B25" s="54" t="s">
        <v>484</v>
      </c>
      <c r="C25" s="54" t="s">
        <v>541</v>
      </c>
      <c r="D25" s="54" t="s">
        <v>542</v>
      </c>
      <c r="E25" s="181" t="s">
        <v>200</v>
      </c>
      <c r="F25" s="157" t="s">
        <v>725</v>
      </c>
      <c r="G25" s="158" t="s">
        <v>335</v>
      </c>
      <c r="J25" s="156" t="s">
        <v>188</v>
      </c>
      <c r="K25" s="156" t="s">
        <v>187</v>
      </c>
      <c r="L25" s="303"/>
      <c r="M25" s="303"/>
      <c r="N25" s="303"/>
      <c r="O25" s="303"/>
      <c r="P25" s="182">
        <v>15.1</v>
      </c>
      <c r="Q25" s="178">
        <v>-24.146976119777548</v>
      </c>
      <c r="R25" s="140">
        <v>-30.60269055078264</v>
      </c>
      <c r="S25" s="140">
        <v>-16.994786512512334</v>
      </c>
      <c r="T25" s="141">
        <v>-29.738813630479129</v>
      </c>
      <c r="U25" s="141">
        <v>-45.278235318309122</v>
      </c>
      <c r="V25" s="141">
        <v>-14.849785116925688</v>
      </c>
      <c r="W25" s="142">
        <v>-15.977230467157369</v>
      </c>
      <c r="X25" s="142">
        <v>-35.991824168700333</v>
      </c>
      <c r="Y25" s="142">
        <v>3.3888876080630723</v>
      </c>
      <c r="Z25" s="143">
        <v>0</v>
      </c>
      <c r="AA25" s="143">
        <v>0</v>
      </c>
      <c r="AB25" s="143">
        <v>0</v>
      </c>
      <c r="AC25" s="144">
        <v>-3.2999999999999972</v>
      </c>
      <c r="AD25" s="144">
        <v>-19.515204678362579</v>
      </c>
      <c r="AE25" s="144">
        <v>5.9467836257310012</v>
      </c>
      <c r="AF25" s="144">
        <v>-6</v>
      </c>
      <c r="AG25" s="144">
        <v>-25.332817337461307</v>
      </c>
      <c r="AH25" s="144">
        <v>11.862229102167191</v>
      </c>
      <c r="AI25" s="61">
        <v>46.667050370217112</v>
      </c>
      <c r="AJ25" s="61">
        <v>27.406136504430982</v>
      </c>
      <c r="AK25" s="61">
        <v>25.926813125351909</v>
      </c>
      <c r="AL25" s="27">
        <v>53.332949629782888</v>
      </c>
      <c r="AM25" s="146">
        <v>-21.409216146248042</v>
      </c>
      <c r="AN25" s="146">
        <v>-26.159560773178981</v>
      </c>
      <c r="AO25" s="146">
        <v>-16.242508037254751</v>
      </c>
      <c r="AP25" s="146">
        <v>-26.509660841187923</v>
      </c>
      <c r="AQ25" s="146">
        <v>-41.632267570284917</v>
      </c>
      <c r="AR25" s="146">
        <v>-12.890440078639983</v>
      </c>
      <c r="AS25" s="146">
        <v>-15.193341927727985</v>
      </c>
      <c r="AT25" s="146">
        <v>-34.990789356835464</v>
      </c>
      <c r="AU25" s="146">
        <v>3.7315634030439639</v>
      </c>
      <c r="AV25" s="143">
        <v>0</v>
      </c>
      <c r="AW25" s="143">
        <v>0</v>
      </c>
      <c r="AX25" s="143">
        <v>0</v>
      </c>
      <c r="AY25" s="144">
        <v>-3.2999999999999972</v>
      </c>
      <c r="AZ25" s="144">
        <v>-19.515204678362579</v>
      </c>
      <c r="BA25" s="144">
        <v>5.9467836257310012</v>
      </c>
      <c r="BB25" s="144">
        <v>-6</v>
      </c>
      <c r="BC25" s="144">
        <v>-25.332817337461307</v>
      </c>
      <c r="BD25" s="144">
        <v>11.862229102167191</v>
      </c>
      <c r="BE25" s="59">
        <v>58.366879316924425</v>
      </c>
      <c r="BF25" s="59">
        <v>15.706307557723662</v>
      </c>
      <c r="BG25" s="59">
        <v>25.926813125351909</v>
      </c>
      <c r="BH25" s="60">
        <v>41.633120683075575</v>
      </c>
      <c r="BI25" s="215" t="s">
        <v>356</v>
      </c>
      <c r="BK25" s="455">
        <v>1.5077135530000001</v>
      </c>
      <c r="BL25" s="456">
        <v>11.52342904</v>
      </c>
      <c r="BM25" s="456">
        <v>15.469501429999999</v>
      </c>
      <c r="BN25" s="456">
        <v>16.159203269999999</v>
      </c>
      <c r="BO25" s="456">
        <v>9.3767077800000003</v>
      </c>
      <c r="BP25" s="165">
        <f t="shared" si="0"/>
        <v>98.492286446999998</v>
      </c>
      <c r="BQ25" s="26">
        <v>6.11559629</v>
      </c>
      <c r="BR25" s="77">
        <v>10.89396692</v>
      </c>
      <c r="BS25" s="77">
        <v>13.00262552</v>
      </c>
      <c r="BT25" s="77">
        <v>13.27477678</v>
      </c>
      <c r="BU25" s="68">
        <v>7.5814955639999999</v>
      </c>
      <c r="BV25" s="77">
        <v>0.89147151000000002</v>
      </c>
      <c r="BW25" s="77">
        <v>13.83307948</v>
      </c>
      <c r="BX25" s="77">
        <v>15.49870802</v>
      </c>
      <c r="BY25" s="77">
        <v>14.564387549999999</v>
      </c>
      <c r="BZ25" s="77">
        <v>7.6618807279999999</v>
      </c>
      <c r="CA25" s="26" t="s">
        <v>220</v>
      </c>
      <c r="CB25" s="77" t="s">
        <v>220</v>
      </c>
      <c r="CC25" s="77" t="s">
        <v>220</v>
      </c>
      <c r="CD25" s="77" t="s">
        <v>220</v>
      </c>
      <c r="CE25" s="68" t="s">
        <v>220</v>
      </c>
    </row>
    <row r="26" spans="1:83" ht="14.4" customHeight="1" x14ac:dyDescent="0.3">
      <c r="A26" s="54" t="s">
        <v>369</v>
      </c>
      <c r="B26" s="54" t="s">
        <v>484</v>
      </c>
      <c r="C26" s="54" t="s">
        <v>533</v>
      </c>
      <c r="D26" s="54" t="s">
        <v>534</v>
      </c>
      <c r="E26" s="181" t="s">
        <v>200</v>
      </c>
      <c r="F26" s="157" t="s">
        <v>725</v>
      </c>
      <c r="G26" s="158" t="s">
        <v>335</v>
      </c>
      <c r="J26" s="156" t="s">
        <v>188</v>
      </c>
      <c r="K26" s="156" t="s">
        <v>187</v>
      </c>
      <c r="L26" s="303"/>
      <c r="M26" s="303"/>
      <c r="N26" s="303"/>
      <c r="O26" s="303"/>
      <c r="P26" s="182">
        <v>15.2</v>
      </c>
      <c r="Q26" s="178">
        <v>-21.036895239456115</v>
      </c>
      <c r="R26" s="140">
        <v>-26.58790480796938</v>
      </c>
      <c r="S26" s="140">
        <v>-14.89424545829857</v>
      </c>
      <c r="T26" s="141">
        <v>-26.316131640936817</v>
      </c>
      <c r="U26" s="141">
        <v>-41.905476180085479</v>
      </c>
      <c r="V26" s="141">
        <v>-12.201209054514706</v>
      </c>
      <c r="W26" s="142">
        <v>-14.718309419699011</v>
      </c>
      <c r="X26" s="142">
        <v>-34.634572293838616</v>
      </c>
      <c r="Y26" s="142">
        <v>4.4337482910600983</v>
      </c>
      <c r="Z26" s="143">
        <v>0</v>
      </c>
      <c r="AA26" s="143">
        <v>0</v>
      </c>
      <c r="AB26" s="143">
        <v>0</v>
      </c>
      <c r="AC26" s="144">
        <v>-3.2999999999999972</v>
      </c>
      <c r="AD26" s="144">
        <v>-19.515204678362579</v>
      </c>
      <c r="AE26" s="144">
        <v>5.9467836257310012</v>
      </c>
      <c r="AF26" s="144">
        <v>-6</v>
      </c>
      <c r="AG26" s="144">
        <v>-25.332817337461307</v>
      </c>
      <c r="AH26" s="144">
        <v>11.862229102167191</v>
      </c>
      <c r="AI26" s="61">
        <v>53.961448015006113</v>
      </c>
      <c r="AJ26" s="61">
        <v>23.229942929510461</v>
      </c>
      <c r="AK26" s="61">
        <v>22.808609055483426</v>
      </c>
      <c r="AL26" s="27">
        <v>46.038551984993887</v>
      </c>
      <c r="AM26" s="146">
        <v>-19.29213611590697</v>
      </c>
      <c r="AN26" s="146">
        <v>-23.756323043483007</v>
      </c>
      <c r="AO26" s="146">
        <v>-14.414822592216126</v>
      </c>
      <c r="AP26" s="146">
        <v>-24.258210623417312</v>
      </c>
      <c r="AQ26" s="146">
        <v>-39.581921319894384</v>
      </c>
      <c r="AR26" s="146">
        <v>-10.952529416860969</v>
      </c>
      <c r="AS26" s="146">
        <v>-14.218741636460578</v>
      </c>
      <c r="AT26" s="146">
        <v>-33.996618405302556</v>
      </c>
      <c r="AU26" s="146">
        <v>4.6521336592052904</v>
      </c>
      <c r="AV26" s="143">
        <v>0</v>
      </c>
      <c r="AW26" s="143">
        <v>0</v>
      </c>
      <c r="AX26" s="143">
        <v>0</v>
      </c>
      <c r="AY26" s="144">
        <v>-3.2999999999999972</v>
      </c>
      <c r="AZ26" s="144">
        <v>-19.515204678362579</v>
      </c>
      <c r="BA26" s="144">
        <v>5.9467836257310012</v>
      </c>
      <c r="BB26" s="144">
        <v>-6</v>
      </c>
      <c r="BC26" s="144">
        <v>-25.332817337461307</v>
      </c>
      <c r="BD26" s="144">
        <v>11.862229102167191</v>
      </c>
      <c r="BE26" s="59">
        <v>61.417683585728938</v>
      </c>
      <c r="BF26" s="59">
        <v>15.773707358787636</v>
      </c>
      <c r="BG26" s="59">
        <v>22.808609055483426</v>
      </c>
      <c r="BH26" s="60">
        <v>38.582316414271062</v>
      </c>
      <c r="BI26" s="215" t="s">
        <v>356</v>
      </c>
      <c r="BK26" s="455">
        <v>0.54138704900000001</v>
      </c>
      <c r="BL26" s="456">
        <v>7.4158684770000001</v>
      </c>
      <c r="BM26" s="456">
        <v>15.688310550000001</v>
      </c>
      <c r="BN26" s="456">
        <v>14.57114395</v>
      </c>
      <c r="BO26" s="456">
        <v>8.1139822499999994</v>
      </c>
      <c r="BP26" s="165">
        <f t="shared" si="0"/>
        <v>99.458612951000006</v>
      </c>
      <c r="BQ26" s="26">
        <v>1.3418079759999999</v>
      </c>
      <c r="BR26" s="77">
        <v>6.5775358180000003</v>
      </c>
      <c r="BS26" s="77">
        <v>13.311177430000001</v>
      </c>
      <c r="BT26" s="77">
        <v>12.177065949999999</v>
      </c>
      <c r="BU26" s="68">
        <v>6.6803692809999999</v>
      </c>
      <c r="BV26" s="77">
        <v>1.0625403259999999</v>
      </c>
      <c r="BW26" s="77">
        <v>7.7343497689999996</v>
      </c>
      <c r="BX26" s="77">
        <v>17.76810266</v>
      </c>
      <c r="BY26" s="77">
        <v>15.872203969999999</v>
      </c>
      <c r="BZ26" s="77">
        <v>9.2396112200000005</v>
      </c>
      <c r="CA26" s="26" t="s">
        <v>220</v>
      </c>
      <c r="CB26" s="77" t="s">
        <v>220</v>
      </c>
      <c r="CC26" s="77" t="s">
        <v>220</v>
      </c>
      <c r="CD26" s="77" t="s">
        <v>220</v>
      </c>
      <c r="CE26" s="68" t="s">
        <v>220</v>
      </c>
    </row>
    <row r="27" spans="1:83" ht="14.4" customHeight="1" x14ac:dyDescent="0.3">
      <c r="A27" s="41" t="s">
        <v>369</v>
      </c>
      <c r="B27" s="41" t="s">
        <v>484</v>
      </c>
      <c r="C27" s="146" t="s">
        <v>537</v>
      </c>
      <c r="D27" s="146" t="s">
        <v>538</v>
      </c>
      <c r="E27" s="181" t="s">
        <v>704</v>
      </c>
      <c r="F27" s="157" t="s">
        <v>725</v>
      </c>
      <c r="G27" s="158" t="s">
        <v>185</v>
      </c>
      <c r="I27" s="156" t="s">
        <v>188</v>
      </c>
      <c r="J27" s="156" t="s">
        <v>188</v>
      </c>
      <c r="K27" s="159" t="s">
        <v>188</v>
      </c>
      <c r="L27" s="302"/>
      <c r="M27" s="302"/>
      <c r="N27" s="302"/>
      <c r="O27" s="302"/>
      <c r="P27" s="182">
        <v>16</v>
      </c>
      <c r="Q27" s="178">
        <v>-21.783128789443722</v>
      </c>
      <c r="R27" s="140">
        <v>-29.65718405194562</v>
      </c>
      <c r="S27" s="140">
        <v>-15.225655743518757</v>
      </c>
      <c r="T27" s="141">
        <v>-24.971613762491728</v>
      </c>
      <c r="U27" s="141">
        <v>-40.751450611910869</v>
      </c>
      <c r="V27" s="141">
        <v>-11.856604045843795</v>
      </c>
      <c r="W27" s="142">
        <v>-12.980347779582857</v>
      </c>
      <c r="X27" s="142">
        <v>-37.727650874045814</v>
      </c>
      <c r="Y27" s="142">
        <v>8.5928668053763175</v>
      </c>
      <c r="Z27" s="143">
        <v>0</v>
      </c>
      <c r="AA27" s="143">
        <v>0</v>
      </c>
      <c r="AB27" s="143">
        <v>0</v>
      </c>
      <c r="AC27" s="144">
        <v>-1</v>
      </c>
      <c r="AD27" s="144">
        <v>-16.078362573099412</v>
      </c>
      <c r="AE27" s="144">
        <v>8.3005847953216403</v>
      </c>
      <c r="AF27" s="144">
        <v>-1.9000000000000057</v>
      </c>
      <c r="AG27" s="144">
        <v>-22.158307533539727</v>
      </c>
      <c r="AH27" s="144">
        <v>16.024974200206401</v>
      </c>
      <c r="AI27" s="61">
        <v>48.245436483512677</v>
      </c>
      <c r="AJ27" s="61">
        <v>29.452728159369151</v>
      </c>
      <c r="AK27" s="61">
        <v>22.301835357118176</v>
      </c>
      <c r="AL27" s="27">
        <v>51.754563516487323</v>
      </c>
      <c r="AM27" s="146">
        <v>-19.06621005061713</v>
      </c>
      <c r="AN27" s="146">
        <v>-25.554228267876852</v>
      </c>
      <c r="AO27" s="146">
        <v>-13.856372371647041</v>
      </c>
      <c r="AP27" s="146">
        <v>-22.101088310515934</v>
      </c>
      <c r="AQ27" s="146">
        <v>-37.765551696659621</v>
      </c>
      <c r="AR27" s="146">
        <v>-9.6404229804739714</v>
      </c>
      <c r="AS27" s="146">
        <v>-11.847498270107451</v>
      </c>
      <c r="AT27" s="146">
        <v>-35.929131700465689</v>
      </c>
      <c r="AU27" s="146">
        <v>9.1437074498728919</v>
      </c>
      <c r="AV27" s="143">
        <v>0</v>
      </c>
      <c r="AW27" s="143">
        <v>0</v>
      </c>
      <c r="AX27" s="143">
        <v>0</v>
      </c>
      <c r="AY27" s="144">
        <v>-1</v>
      </c>
      <c r="AZ27" s="144">
        <v>-16.078362573099412</v>
      </c>
      <c r="BA27" s="144">
        <v>8.3005847953216403</v>
      </c>
      <c r="BB27" s="144">
        <v>-1.9000000000000057</v>
      </c>
      <c r="BC27" s="144">
        <v>-22.158307533539727</v>
      </c>
      <c r="BD27" s="144">
        <v>16.024974200206401</v>
      </c>
      <c r="BE27" s="59">
        <v>57.845856055338132</v>
      </c>
      <c r="BF27" s="59">
        <v>19.852308587543689</v>
      </c>
      <c r="BG27" s="59">
        <v>22.301835357118176</v>
      </c>
      <c r="BH27" s="60">
        <v>42.154143944661868</v>
      </c>
      <c r="BI27" s="215" t="s">
        <v>356</v>
      </c>
      <c r="BK27" s="455">
        <v>0.30457942599999999</v>
      </c>
      <c r="BL27" s="456">
        <v>9.571178669</v>
      </c>
      <c r="BM27" s="456">
        <v>19.791842540000001</v>
      </c>
      <c r="BN27" s="456">
        <v>16.956266840000001</v>
      </c>
      <c r="BO27" s="456">
        <v>5.2776417149999997</v>
      </c>
      <c r="BP27" s="165">
        <f t="shared" si="0"/>
        <v>99.695420573999996</v>
      </c>
      <c r="BQ27" s="26">
        <v>0.40697261699999998</v>
      </c>
      <c r="BR27" s="77">
        <v>6.452137252</v>
      </c>
      <c r="BS27" s="77">
        <v>12.942742369999999</v>
      </c>
      <c r="BT27" s="77">
        <v>10.836069159999999</v>
      </c>
      <c r="BU27" s="68">
        <v>3.3219070789999998</v>
      </c>
      <c r="BV27" s="77">
        <v>0.42357603700000002</v>
      </c>
      <c r="BW27" s="77">
        <v>9.1048115490000008</v>
      </c>
      <c r="BX27" s="77">
        <v>18.363393840000001</v>
      </c>
      <c r="BY27" s="77">
        <v>14.68042578</v>
      </c>
      <c r="BZ27" s="77">
        <v>4.5385287380000001</v>
      </c>
      <c r="CA27" s="26">
        <v>0.51449658799999998</v>
      </c>
      <c r="CB27" s="77">
        <v>6.5279522940000003</v>
      </c>
      <c r="CC27" s="77">
        <v>13.762842020000001</v>
      </c>
      <c r="CD27" s="77">
        <v>11.32615167</v>
      </c>
      <c r="CE27" s="68">
        <v>3.5986786739999999</v>
      </c>
    </row>
    <row r="28" spans="1:83" ht="14.4" customHeight="1" x14ac:dyDescent="0.3">
      <c r="A28" s="86" t="s">
        <v>369</v>
      </c>
      <c r="B28" s="86" t="s">
        <v>442</v>
      </c>
      <c r="C28" s="147" t="s">
        <v>531</v>
      </c>
      <c r="D28" s="147" t="s">
        <v>532</v>
      </c>
      <c r="E28" s="181" t="s">
        <v>186</v>
      </c>
      <c r="F28" s="157" t="s">
        <v>727</v>
      </c>
      <c r="G28" s="158" t="s">
        <v>185</v>
      </c>
      <c r="I28" s="159" t="s">
        <v>188</v>
      </c>
      <c r="J28" s="159" t="s">
        <v>188</v>
      </c>
      <c r="K28" s="156" t="s">
        <v>188</v>
      </c>
      <c r="L28" s="303"/>
      <c r="M28" s="303"/>
      <c r="N28" s="303"/>
      <c r="O28" s="303"/>
      <c r="P28" s="182">
        <v>17</v>
      </c>
      <c r="Q28" s="178">
        <v>-19.069376867877082</v>
      </c>
      <c r="R28" s="140">
        <v>-24.728304100435182</v>
      </c>
      <c r="S28" s="140">
        <v>-14.34516437085793</v>
      </c>
      <c r="T28" s="141">
        <v>-22.909998132768649</v>
      </c>
      <c r="U28" s="141">
        <v>-38.925627748567422</v>
      </c>
      <c r="V28" s="141">
        <v>-10.395647641792436</v>
      </c>
      <c r="W28" s="142">
        <v>-16.241051088411538</v>
      </c>
      <c r="X28" s="142">
        <v>-36.86352591276377</v>
      </c>
      <c r="Y28" s="142">
        <v>1.3322507994030559</v>
      </c>
      <c r="Z28" s="143">
        <v>0</v>
      </c>
      <c r="AA28" s="143">
        <v>0</v>
      </c>
      <c r="AB28" s="143">
        <v>0</v>
      </c>
      <c r="AC28" s="144">
        <v>-2.2000000000000028</v>
      </c>
      <c r="AD28" s="144">
        <v>-18.45087719298246</v>
      </c>
      <c r="AE28" s="144">
        <v>8.2286549707602319</v>
      </c>
      <c r="AF28" s="144">
        <v>-8.0999999999999943</v>
      </c>
      <c r="AG28" s="144">
        <v>-28.370588235294107</v>
      </c>
      <c r="AH28" s="144">
        <v>8.9515406162465041</v>
      </c>
      <c r="AI28" s="61">
        <v>60.235403772141183</v>
      </c>
      <c r="AJ28" s="61">
        <v>23.085457635452617</v>
      </c>
      <c r="AK28" s="61">
        <v>16.679138592406201</v>
      </c>
      <c r="AL28" s="27">
        <v>39.764596227858817</v>
      </c>
      <c r="AM28" s="146">
        <v>-16.710884823497167</v>
      </c>
      <c r="AN28" s="146">
        <v>-20.96702641932805</v>
      </c>
      <c r="AO28" s="146">
        <v>-13.007987579271642</v>
      </c>
      <c r="AP28" s="146">
        <v>-20.231710556947391</v>
      </c>
      <c r="AQ28" s="146">
        <v>-36.243793568168151</v>
      </c>
      <c r="AR28" s="146">
        <v>-8.1037729873581412</v>
      </c>
      <c r="AS28" s="146">
        <v>-15.385598041805949</v>
      </c>
      <c r="AT28" s="146">
        <v>-36.081990124615977</v>
      </c>
      <c r="AU28" s="146">
        <v>2.1534997581219955</v>
      </c>
      <c r="AV28" s="143">
        <v>0</v>
      </c>
      <c r="AW28" s="143">
        <v>0</v>
      </c>
      <c r="AX28" s="143">
        <v>0</v>
      </c>
      <c r="AY28" s="144">
        <v>-2.2000000000000028</v>
      </c>
      <c r="AZ28" s="144">
        <v>-18.45087719298246</v>
      </c>
      <c r="BA28" s="144">
        <v>8.2286549707602319</v>
      </c>
      <c r="BB28" s="144">
        <v>-8.0999999999999943</v>
      </c>
      <c r="BC28" s="144">
        <v>-28.370588235294107</v>
      </c>
      <c r="BD28" s="144">
        <v>8.9515406162465041</v>
      </c>
      <c r="BE28" s="59">
        <v>68.230292058174783</v>
      </c>
      <c r="BF28" s="59">
        <v>15.09056934941902</v>
      </c>
      <c r="BG28" s="59">
        <v>16.679138592406201</v>
      </c>
      <c r="BH28" s="60">
        <v>31.769707941825221</v>
      </c>
      <c r="BI28" s="215" t="s">
        <v>356</v>
      </c>
      <c r="BK28" s="455">
        <v>0.47318466100000001</v>
      </c>
      <c r="BL28" s="456">
        <v>7.9570577010000001</v>
      </c>
      <c r="BM28" s="456">
        <v>15.019163089999999</v>
      </c>
      <c r="BN28" s="456">
        <v>11.843968820000001</v>
      </c>
      <c r="BO28" s="456">
        <v>4.7562466470000002</v>
      </c>
      <c r="BP28" s="165">
        <f t="shared" si="0"/>
        <v>99.526815338999995</v>
      </c>
      <c r="BQ28" s="26">
        <v>1.1245506089999999</v>
      </c>
      <c r="BR28" s="77">
        <v>5.5214797530000004</v>
      </c>
      <c r="BS28" s="77">
        <v>9.9914576050000008</v>
      </c>
      <c r="BT28" s="77">
        <v>7.712955826</v>
      </c>
      <c r="BU28" s="68">
        <v>2.958311465</v>
      </c>
      <c r="BV28" s="77">
        <v>1.0559288680000001</v>
      </c>
      <c r="BW28" s="77">
        <v>8.6115367620000001</v>
      </c>
      <c r="BX28" s="77">
        <v>16.458292969999999</v>
      </c>
      <c r="BY28" s="77">
        <v>13.04750464</v>
      </c>
      <c r="BZ28" s="77">
        <v>4.3568182550000003</v>
      </c>
      <c r="CA28" s="26" t="s">
        <v>220</v>
      </c>
      <c r="CB28" s="77" t="s">
        <v>220</v>
      </c>
      <c r="CC28" s="77" t="s">
        <v>220</v>
      </c>
      <c r="CD28" s="77" t="s">
        <v>220</v>
      </c>
      <c r="CE28" s="68" t="s">
        <v>220</v>
      </c>
    </row>
    <row r="29" spans="1:83" ht="14.4" customHeight="1" x14ac:dyDescent="0.3">
      <c r="A29" s="41" t="s">
        <v>369</v>
      </c>
      <c r="B29" s="41" t="s">
        <v>484</v>
      </c>
      <c r="C29" s="146" t="s">
        <v>734</v>
      </c>
      <c r="D29" s="146" t="s">
        <v>543</v>
      </c>
      <c r="E29" s="181" t="s">
        <v>704</v>
      </c>
      <c r="F29" s="157" t="s">
        <v>725</v>
      </c>
      <c r="G29" s="158" t="s">
        <v>335</v>
      </c>
      <c r="J29" s="156" t="s">
        <v>188</v>
      </c>
      <c r="K29" s="156" t="s">
        <v>267</v>
      </c>
      <c r="L29" s="303"/>
      <c r="M29" s="303"/>
      <c r="N29" s="303"/>
      <c r="O29" s="303"/>
      <c r="P29" s="182">
        <v>18</v>
      </c>
      <c r="Q29" s="178">
        <v>-27.179393466570076</v>
      </c>
      <c r="R29" s="140">
        <v>-34.082777530312569</v>
      </c>
      <c r="S29" s="140">
        <v>-17.798353999243275</v>
      </c>
      <c r="T29" s="141">
        <v>-30.100690542015016</v>
      </c>
      <c r="U29" s="141">
        <v>-47.294156735312498</v>
      </c>
      <c r="V29" s="141">
        <v>-13.28754888646867</v>
      </c>
      <c r="W29" s="142">
        <v>-17.921206374461775</v>
      </c>
      <c r="X29" s="142">
        <v>-37.042270155648147</v>
      </c>
      <c r="Y29" s="142">
        <v>3.1673550243277759</v>
      </c>
      <c r="Z29" s="143">
        <v>0</v>
      </c>
      <c r="AA29" s="143">
        <v>0</v>
      </c>
      <c r="AB29" s="143">
        <v>0</v>
      </c>
      <c r="AC29" s="144">
        <v>-1</v>
      </c>
      <c r="AD29" s="144">
        <v>-17.953216374269005</v>
      </c>
      <c r="AE29" s="144">
        <v>9.7274853801169598</v>
      </c>
      <c r="AF29" s="144">
        <v>-4.2000000000000028</v>
      </c>
      <c r="AG29" s="144">
        <v>-23.120536635706912</v>
      </c>
      <c r="AH29" s="144">
        <v>15.408771929824553</v>
      </c>
      <c r="AI29" s="61">
        <v>46.368781848103829</v>
      </c>
      <c r="AJ29" s="61">
        <v>33.58372145001011</v>
      </c>
      <c r="AK29" s="61">
        <v>20.047496701886068</v>
      </c>
      <c r="AL29" s="27">
        <v>53.631218151896178</v>
      </c>
      <c r="AM29" s="146">
        <v>-23.135923731144644</v>
      </c>
      <c r="AN29" s="146">
        <v>-28.28103881578491</v>
      </c>
      <c r="AO29" s="146">
        <v>-15.78886394297038</v>
      </c>
      <c r="AP29" s="146">
        <v>-25.396376722406472</v>
      </c>
      <c r="AQ29" s="146">
        <v>-42.374767263699987</v>
      </c>
      <c r="AR29" s="146">
        <v>-9.9154660887759292</v>
      </c>
      <c r="AS29" s="146">
        <v>-16.03948084661836</v>
      </c>
      <c r="AT29" s="146">
        <v>-35.366058440604661</v>
      </c>
      <c r="AU29" s="146">
        <v>5.0580636075612944</v>
      </c>
      <c r="AV29" s="143">
        <v>0</v>
      </c>
      <c r="AW29" s="143">
        <v>0</v>
      </c>
      <c r="AX29" s="143">
        <v>0</v>
      </c>
      <c r="AY29" s="144">
        <v>-1</v>
      </c>
      <c r="AZ29" s="144">
        <v>-17.953216374269005</v>
      </c>
      <c r="BA29" s="144">
        <v>9.7274853801169598</v>
      </c>
      <c r="BB29" s="144">
        <v>-4.2000000000000028</v>
      </c>
      <c r="BC29" s="144">
        <v>-23.120536635706912</v>
      </c>
      <c r="BD29" s="144">
        <v>15.408771929824553</v>
      </c>
      <c r="BE29" s="59">
        <v>57.569529037648017</v>
      </c>
      <c r="BF29" s="59">
        <v>22.382974260465911</v>
      </c>
      <c r="BG29" s="59">
        <v>20.047496701886068</v>
      </c>
      <c r="BH29" s="60">
        <v>42.430470962351976</v>
      </c>
      <c r="BI29" s="215" t="s">
        <v>356</v>
      </c>
      <c r="BK29" s="455">
        <v>0.367862776</v>
      </c>
      <c r="BL29" s="456">
        <v>11.159543810000001</v>
      </c>
      <c r="BM29" s="456">
        <v>22.300635629999999</v>
      </c>
      <c r="BN29" s="456">
        <v>16.031507380000001</v>
      </c>
      <c r="BO29" s="456">
        <v>3.9422420439999999</v>
      </c>
      <c r="BP29" s="165">
        <f t="shared" si="0"/>
        <v>99.632137224000004</v>
      </c>
      <c r="BQ29" s="26">
        <v>0.60784137699999996</v>
      </c>
      <c r="BR29" s="77">
        <v>7.8660777680000002</v>
      </c>
      <c r="BS29" s="77">
        <v>15.6650215</v>
      </c>
      <c r="BT29" s="77">
        <v>11.114113059999999</v>
      </c>
      <c r="BU29" s="68">
        <v>2.6061518339999998</v>
      </c>
      <c r="BV29" s="77">
        <v>0.34335662300000003</v>
      </c>
      <c r="BW29" s="77">
        <v>10.084672579999999</v>
      </c>
      <c r="BX29" s="77">
        <v>14.812188069999999</v>
      </c>
      <c r="BY29" s="77">
        <v>9.8694824689999994</v>
      </c>
      <c r="BZ29" s="77">
        <v>2.0912635210000001</v>
      </c>
      <c r="CA29" s="26" t="s">
        <v>220</v>
      </c>
      <c r="CB29" s="77" t="s">
        <v>220</v>
      </c>
      <c r="CC29" s="77" t="s">
        <v>220</v>
      </c>
      <c r="CD29" s="77" t="s">
        <v>220</v>
      </c>
      <c r="CE29" s="68" t="s">
        <v>220</v>
      </c>
    </row>
    <row r="30" spans="1:83" ht="14.4" customHeight="1" x14ac:dyDescent="0.3">
      <c r="A30" s="41" t="s">
        <v>369</v>
      </c>
      <c r="B30" s="41" t="s">
        <v>420</v>
      </c>
      <c r="C30" s="146" t="s">
        <v>421</v>
      </c>
      <c r="D30" s="146" t="s">
        <v>422</v>
      </c>
      <c r="E30" s="181" t="s">
        <v>200</v>
      </c>
      <c r="F30" s="157" t="s">
        <v>730</v>
      </c>
      <c r="G30" s="158" t="s">
        <v>185</v>
      </c>
      <c r="H30" s="136" t="s">
        <v>383</v>
      </c>
      <c r="I30" s="156" t="s">
        <v>188</v>
      </c>
      <c r="J30" s="156" t="s">
        <v>188</v>
      </c>
      <c r="K30" s="156" t="s">
        <v>187</v>
      </c>
      <c r="L30" s="303"/>
      <c r="M30" s="303"/>
      <c r="N30" s="303"/>
      <c r="O30" s="303"/>
      <c r="P30" s="182">
        <v>19</v>
      </c>
      <c r="Q30" s="178">
        <v>-2.8465093724210533</v>
      </c>
      <c r="R30" s="140">
        <v>-5.0694946398450895</v>
      </c>
      <c r="S30" s="140">
        <v>-8.6351103538873986E-2</v>
      </c>
      <c r="T30" s="141">
        <v>-8.4590257782689662</v>
      </c>
      <c r="U30" s="141">
        <v>-26.936951027228801</v>
      </c>
      <c r="V30" s="141">
        <v>5.6714117618329993</v>
      </c>
      <c r="W30" s="142">
        <v>-13.58373662491519</v>
      </c>
      <c r="X30" s="142">
        <v>-36.618005393495906</v>
      </c>
      <c r="Y30" s="142">
        <v>6.2723283840647355</v>
      </c>
      <c r="Z30" s="143">
        <v>0</v>
      </c>
      <c r="AA30" s="143">
        <v>0</v>
      </c>
      <c r="AB30" s="143">
        <v>0</v>
      </c>
      <c r="AC30" s="144">
        <v>-4.2000000000000028</v>
      </c>
      <c r="AD30" s="144">
        <v>-22.291360754828247</v>
      </c>
      <c r="AE30" s="144">
        <v>8.8330974495061128</v>
      </c>
      <c r="AF30" s="144">
        <v>-12.400000000000006</v>
      </c>
      <c r="AG30" s="144">
        <v>-34.843281733746124</v>
      </c>
      <c r="AH30" s="144">
        <v>7.2888957688338394</v>
      </c>
      <c r="AI30" s="61">
        <v>88.040398419698846</v>
      </c>
      <c r="AJ30" s="61">
        <v>7.1105550103170083</v>
      </c>
      <c r="AK30" s="61">
        <v>4.8490465699841421</v>
      </c>
      <c r="AL30" s="27">
        <v>11.95960158030115</v>
      </c>
      <c r="AM30" s="146">
        <v>-2.4823033066487454</v>
      </c>
      <c r="AN30" s="146">
        <v>-4.0674055313454573</v>
      </c>
      <c r="AO30" s="146">
        <v>-0.38091430161756534</v>
      </c>
      <c r="AP30" s="146">
        <v>-7.7872132380268084</v>
      </c>
      <c r="AQ30" s="146">
        <v>-26.139011397424639</v>
      </c>
      <c r="AR30" s="146">
        <v>6.1055418629447331</v>
      </c>
      <c r="AS30" s="146">
        <v>-13.4459289243527</v>
      </c>
      <c r="AT30" s="146">
        <v>-36.345343595000983</v>
      </c>
      <c r="AU30" s="146">
        <v>6.4314221080034315</v>
      </c>
      <c r="AV30" s="143">
        <v>0</v>
      </c>
      <c r="AW30" s="143">
        <v>0</v>
      </c>
      <c r="AX30" s="143">
        <v>0</v>
      </c>
      <c r="AY30" s="144">
        <v>-4.2000000000000028</v>
      </c>
      <c r="AZ30" s="144">
        <v>-22.291360754828247</v>
      </c>
      <c r="BA30" s="144">
        <v>8.8330974495061128</v>
      </c>
      <c r="BB30" s="144">
        <v>-12.400000000000006</v>
      </c>
      <c r="BC30" s="144">
        <v>-34.843281733746124</v>
      </c>
      <c r="BD30" s="144">
        <v>7.2888957688338394</v>
      </c>
      <c r="BE30" s="59">
        <v>90.501250215457603</v>
      </c>
      <c r="BF30" s="59">
        <v>4.6497032145582642</v>
      </c>
      <c r="BG30" s="59">
        <v>4.8490465699841421</v>
      </c>
      <c r="BH30" s="60">
        <v>9.4987497845424063</v>
      </c>
      <c r="BI30" s="215" t="s">
        <v>356</v>
      </c>
      <c r="BK30" s="455">
        <v>0.14576228299999999</v>
      </c>
      <c r="BL30" s="456">
        <v>2.4572648020000001</v>
      </c>
      <c r="BM30" s="456">
        <v>4.6429257010000002</v>
      </c>
      <c r="BN30" s="456">
        <v>3.4650328730000002</v>
      </c>
      <c r="BO30" s="456">
        <v>1.376945616</v>
      </c>
      <c r="BP30" s="165">
        <f t="shared" si="0"/>
        <v>99.854237717000004</v>
      </c>
      <c r="BQ30" s="26">
        <v>0.28562164200000001</v>
      </c>
      <c r="BR30" s="77">
        <v>1.4281141589999999</v>
      </c>
      <c r="BS30" s="77">
        <v>2.5674379369999998</v>
      </c>
      <c r="BT30" s="77">
        <v>1.872773858</v>
      </c>
      <c r="BU30" s="68">
        <v>0.71077750699999998</v>
      </c>
      <c r="BV30" s="77" t="s">
        <v>220</v>
      </c>
      <c r="BW30" s="77" t="s">
        <v>220</v>
      </c>
      <c r="BX30" s="77" t="s">
        <v>220</v>
      </c>
      <c r="BY30" s="77" t="s">
        <v>220</v>
      </c>
      <c r="BZ30" s="77" t="s">
        <v>220</v>
      </c>
      <c r="CA30" s="26" t="s">
        <v>220</v>
      </c>
      <c r="CB30" s="77" t="s">
        <v>220</v>
      </c>
      <c r="CC30" s="77" t="s">
        <v>220</v>
      </c>
      <c r="CD30" s="77" t="s">
        <v>220</v>
      </c>
      <c r="CE30" s="68" t="s">
        <v>220</v>
      </c>
    </row>
    <row r="31" spans="1:83" ht="14.4" customHeight="1" x14ac:dyDescent="0.3">
      <c r="A31" s="41" t="s">
        <v>369</v>
      </c>
      <c r="B31" s="41" t="s">
        <v>484</v>
      </c>
      <c r="C31" s="146" t="s">
        <v>525</v>
      </c>
      <c r="D31" s="146" t="s">
        <v>526</v>
      </c>
      <c r="E31" s="181" t="s">
        <v>200</v>
      </c>
      <c r="F31" s="157" t="s">
        <v>500</v>
      </c>
      <c r="G31" s="158" t="s">
        <v>335</v>
      </c>
      <c r="J31" s="156" t="s">
        <v>188</v>
      </c>
      <c r="K31" s="156" t="s">
        <v>187</v>
      </c>
      <c r="L31" s="303"/>
      <c r="M31" s="303"/>
      <c r="N31" s="303"/>
      <c r="O31" s="303"/>
      <c r="P31" s="182"/>
      <c r="W31" s="139"/>
      <c r="X31" s="139"/>
      <c r="Y31" s="139"/>
      <c r="Z31" s="139"/>
      <c r="AA31" s="139"/>
      <c r="AB31" s="139"/>
      <c r="AC31" s="139"/>
      <c r="AD31" s="139"/>
      <c r="AE31" s="139"/>
      <c r="AF31" s="139"/>
      <c r="AG31" s="139"/>
      <c r="AH31" s="139"/>
      <c r="AI31" s="61">
        <v>37.460295737000003</v>
      </c>
      <c r="AJ31" s="61">
        <v>11.192689793</v>
      </c>
      <c r="AK31" s="61">
        <v>51.347014469999998</v>
      </c>
      <c r="AL31" s="27">
        <v>62.539704262999997</v>
      </c>
      <c r="AS31" s="139"/>
      <c r="AT31" s="139"/>
      <c r="AU31" s="139"/>
      <c r="AV31" s="139"/>
      <c r="AW31" s="139"/>
      <c r="AX31" s="139"/>
      <c r="AY31" s="139"/>
      <c r="AZ31" s="139"/>
      <c r="BA31" s="139"/>
      <c r="BB31" s="139"/>
      <c r="BC31" s="139"/>
      <c r="BD31" s="139"/>
      <c r="BE31" s="59">
        <v>42.650759783000005</v>
      </c>
      <c r="BF31" s="59">
        <v>6.0022257469999998</v>
      </c>
      <c r="BG31" s="59">
        <v>51.347014469999998</v>
      </c>
      <c r="BH31" s="60">
        <v>57.349240216999995</v>
      </c>
      <c r="BI31" s="215" t="s">
        <v>356</v>
      </c>
      <c r="BK31" s="455">
        <v>0</v>
      </c>
      <c r="BL31" s="456">
        <v>5.1904640459999998</v>
      </c>
      <c r="BM31" s="456">
        <v>6.0022257469999998</v>
      </c>
      <c r="BN31" s="456">
        <v>13.84927766</v>
      </c>
      <c r="BO31" s="456">
        <v>37.497736809999999</v>
      </c>
      <c r="BP31" s="165">
        <f t="shared" si="0"/>
        <v>100</v>
      </c>
      <c r="BQ31" s="26">
        <v>0</v>
      </c>
      <c r="BR31" s="77">
        <v>11.13738478</v>
      </c>
      <c r="BS31" s="77">
        <v>8.8490056119999991</v>
      </c>
      <c r="BT31" s="77">
        <v>10.69318324</v>
      </c>
      <c r="BU31" s="68">
        <v>20.14897058</v>
      </c>
      <c r="BV31" s="77">
        <v>0</v>
      </c>
      <c r="BW31" s="77">
        <v>14.55565518</v>
      </c>
      <c r="BX31" s="77">
        <v>10.90724522</v>
      </c>
      <c r="BY31" s="77">
        <v>11.509054519999999</v>
      </c>
      <c r="BZ31" s="77">
        <v>19.316544889999999</v>
      </c>
      <c r="CA31" s="26" t="s">
        <v>220</v>
      </c>
      <c r="CB31" s="77" t="s">
        <v>220</v>
      </c>
      <c r="CC31" s="77" t="s">
        <v>220</v>
      </c>
      <c r="CD31" s="77" t="s">
        <v>220</v>
      </c>
      <c r="CE31" s="68" t="s">
        <v>220</v>
      </c>
    </row>
    <row r="32" spans="1:83" ht="14.4" customHeight="1" x14ac:dyDescent="0.3">
      <c r="A32" s="41" t="s">
        <v>369</v>
      </c>
      <c r="B32" s="41" t="s">
        <v>484</v>
      </c>
      <c r="C32" s="146" t="s">
        <v>523</v>
      </c>
      <c r="D32" s="146" t="s">
        <v>524</v>
      </c>
      <c r="E32" s="181" t="s">
        <v>200</v>
      </c>
      <c r="F32" s="157" t="s">
        <v>500</v>
      </c>
      <c r="G32" s="158" t="s">
        <v>335</v>
      </c>
      <c r="J32" s="156" t="s">
        <v>188</v>
      </c>
      <c r="K32" s="156" t="s">
        <v>201</v>
      </c>
      <c r="L32" s="303"/>
      <c r="M32" s="303"/>
      <c r="N32" s="303"/>
      <c r="O32" s="303"/>
      <c r="P32" s="182"/>
      <c r="W32" s="139"/>
      <c r="X32" s="139"/>
      <c r="Y32" s="139"/>
      <c r="Z32" s="139"/>
      <c r="AA32" s="139"/>
      <c r="AB32" s="139"/>
      <c r="AC32" s="139"/>
      <c r="AD32" s="139"/>
      <c r="AE32" s="139"/>
      <c r="AF32" s="139"/>
      <c r="AG32" s="139"/>
      <c r="AH32" s="139"/>
      <c r="AI32" s="61">
        <v>37.460295737000003</v>
      </c>
      <c r="AJ32" s="61">
        <v>11.192689793</v>
      </c>
      <c r="AK32" s="61">
        <v>51.347014469999998</v>
      </c>
      <c r="AL32" s="27">
        <v>62.539704262999997</v>
      </c>
      <c r="AS32" s="139"/>
      <c r="AT32" s="139"/>
      <c r="AU32" s="139"/>
      <c r="AV32" s="139"/>
      <c r="AW32" s="139"/>
      <c r="AX32" s="139"/>
      <c r="AY32" s="139"/>
      <c r="AZ32" s="139"/>
      <c r="BA32" s="139"/>
      <c r="BB32" s="139"/>
      <c r="BC32" s="139"/>
      <c r="BD32" s="139"/>
      <c r="BE32" s="59">
        <v>42.650759783000005</v>
      </c>
      <c r="BF32" s="59">
        <v>6.0022257469999998</v>
      </c>
      <c r="BG32" s="59">
        <v>51.347014469999998</v>
      </c>
      <c r="BH32" s="60">
        <v>57.349240216999995</v>
      </c>
      <c r="BI32" s="215" t="s">
        <v>356</v>
      </c>
      <c r="BK32" s="455">
        <v>0</v>
      </c>
      <c r="BL32" s="456">
        <v>5.1904640459999998</v>
      </c>
      <c r="BM32" s="456">
        <v>6.0022257469999998</v>
      </c>
      <c r="BN32" s="456">
        <v>13.84927766</v>
      </c>
      <c r="BO32" s="456">
        <v>37.497736809999999</v>
      </c>
      <c r="BP32" s="165">
        <f t="shared" si="0"/>
        <v>100</v>
      </c>
      <c r="BQ32" s="26">
        <v>0</v>
      </c>
      <c r="BR32" s="77">
        <v>11.13738478</v>
      </c>
      <c r="BS32" s="77">
        <v>8.8490056119999991</v>
      </c>
      <c r="BT32" s="77">
        <v>10.69318324</v>
      </c>
      <c r="BU32" s="68">
        <v>20.14897058</v>
      </c>
      <c r="BV32" s="77">
        <v>0</v>
      </c>
      <c r="BW32" s="77">
        <v>12.59805442</v>
      </c>
      <c r="BX32" s="77">
        <v>10.003230889999999</v>
      </c>
      <c r="BY32" s="77">
        <v>11.889761849999999</v>
      </c>
      <c r="BZ32" s="77">
        <v>22.087390630000002</v>
      </c>
      <c r="CA32" s="26" t="s">
        <v>220</v>
      </c>
      <c r="CB32" s="77" t="s">
        <v>220</v>
      </c>
      <c r="CC32" s="77" t="s">
        <v>220</v>
      </c>
      <c r="CD32" s="77" t="s">
        <v>220</v>
      </c>
      <c r="CE32" s="68" t="s">
        <v>220</v>
      </c>
    </row>
    <row r="33" spans="1:83" ht="14.4" customHeight="1" x14ac:dyDescent="0.3">
      <c r="A33" s="41" t="s">
        <v>369</v>
      </c>
      <c r="B33" s="41" t="s">
        <v>373</v>
      </c>
      <c r="C33" s="146" t="s">
        <v>521</v>
      </c>
      <c r="D33" s="146" t="s">
        <v>522</v>
      </c>
      <c r="E33" s="181" t="s">
        <v>200</v>
      </c>
      <c r="F33" s="157" t="s">
        <v>500</v>
      </c>
      <c r="G33" s="158" t="s">
        <v>335</v>
      </c>
      <c r="J33" s="156" t="s">
        <v>188</v>
      </c>
      <c r="K33" s="156" t="s">
        <v>187</v>
      </c>
      <c r="L33" s="303"/>
      <c r="M33" s="303"/>
      <c r="N33" s="303"/>
      <c r="O33" s="303"/>
      <c r="P33" s="182"/>
      <c r="W33" s="139"/>
      <c r="X33" s="139"/>
      <c r="Y33" s="139"/>
      <c r="Z33" s="139"/>
      <c r="AA33" s="139"/>
      <c r="AB33" s="139"/>
      <c r="AC33" s="139"/>
      <c r="AD33" s="139"/>
      <c r="AE33" s="139"/>
      <c r="AF33" s="139"/>
      <c r="AG33" s="139"/>
      <c r="AH33" s="139"/>
      <c r="AI33" s="61">
        <v>37.460295737000003</v>
      </c>
      <c r="AJ33" s="61">
        <v>11.192689793</v>
      </c>
      <c r="AK33" s="61">
        <v>51.347014469999998</v>
      </c>
      <c r="AL33" s="27">
        <v>62.539704262999997</v>
      </c>
      <c r="AS33" s="139"/>
      <c r="AT33" s="139"/>
      <c r="AU33" s="139"/>
      <c r="AV33" s="139"/>
      <c r="AW33" s="139"/>
      <c r="AX33" s="139"/>
      <c r="AY33" s="139"/>
      <c r="AZ33" s="139"/>
      <c r="BA33" s="139"/>
      <c r="BB33" s="139"/>
      <c r="BC33" s="139"/>
      <c r="BD33" s="139"/>
      <c r="BE33" s="59">
        <v>42.650759783000005</v>
      </c>
      <c r="BF33" s="59">
        <v>6.0022257469999998</v>
      </c>
      <c r="BG33" s="59">
        <v>51.347014469999998</v>
      </c>
      <c r="BH33" s="60">
        <v>57.349240216999995</v>
      </c>
      <c r="BI33" s="215" t="s">
        <v>356</v>
      </c>
      <c r="BK33" s="455">
        <v>0</v>
      </c>
      <c r="BL33" s="456">
        <v>5.1904640459999998</v>
      </c>
      <c r="BM33" s="456">
        <v>6.0022257469999998</v>
      </c>
      <c r="BN33" s="456">
        <v>13.84927766</v>
      </c>
      <c r="BO33" s="456">
        <v>37.497736809999999</v>
      </c>
      <c r="BP33" s="165">
        <f t="shared" si="0"/>
        <v>100</v>
      </c>
      <c r="BQ33" s="26">
        <v>0</v>
      </c>
      <c r="BR33" s="77">
        <v>11.13738478</v>
      </c>
      <c r="BS33" s="77">
        <v>8.8490056119999991</v>
      </c>
      <c r="BT33" s="77">
        <v>10.69318324</v>
      </c>
      <c r="BU33" s="68">
        <v>20.14897058</v>
      </c>
      <c r="BV33" s="77">
        <v>0</v>
      </c>
      <c r="BW33" s="77">
        <v>12.040831020000001</v>
      </c>
      <c r="BX33" s="77">
        <v>9.3898701780000007</v>
      </c>
      <c r="BY33" s="77">
        <v>10.63696161</v>
      </c>
      <c r="BZ33" s="77">
        <v>21.405432390000001</v>
      </c>
      <c r="CA33" s="26" t="s">
        <v>220</v>
      </c>
      <c r="CB33" s="77" t="s">
        <v>220</v>
      </c>
      <c r="CC33" s="77" t="s">
        <v>220</v>
      </c>
      <c r="CD33" s="77" t="s">
        <v>220</v>
      </c>
      <c r="CE33" s="68" t="s">
        <v>220</v>
      </c>
    </row>
    <row r="34" spans="1:83" ht="14.4" customHeight="1" x14ac:dyDescent="0.3">
      <c r="A34" s="41" t="s">
        <v>369</v>
      </c>
      <c r="B34" s="41" t="s">
        <v>373</v>
      </c>
      <c r="C34" s="146" t="s">
        <v>519</v>
      </c>
      <c r="D34" s="146" t="s">
        <v>520</v>
      </c>
      <c r="E34" s="181" t="s">
        <v>200</v>
      </c>
      <c r="F34" s="157" t="s">
        <v>500</v>
      </c>
      <c r="G34" s="158" t="s">
        <v>335</v>
      </c>
      <c r="J34" s="156" t="s">
        <v>188</v>
      </c>
      <c r="K34" s="156" t="s">
        <v>187</v>
      </c>
      <c r="L34" s="303"/>
      <c r="M34" s="303"/>
      <c r="N34" s="303"/>
      <c r="O34" s="303"/>
      <c r="P34" s="182"/>
      <c r="W34" s="139"/>
      <c r="X34" s="139"/>
      <c r="Y34" s="139"/>
      <c r="Z34" s="139"/>
      <c r="AA34" s="139"/>
      <c r="AB34" s="139"/>
      <c r="AC34" s="139"/>
      <c r="AD34" s="139"/>
      <c r="AE34" s="139"/>
      <c r="AF34" s="139"/>
      <c r="AG34" s="139"/>
      <c r="AH34" s="139"/>
      <c r="AI34" s="61">
        <v>37.460295737000003</v>
      </c>
      <c r="AJ34" s="61">
        <v>11.192689793</v>
      </c>
      <c r="AK34" s="61">
        <v>51.347014469999998</v>
      </c>
      <c r="AL34" s="27">
        <v>62.539704262999997</v>
      </c>
      <c r="AS34" s="139"/>
      <c r="AT34" s="139"/>
      <c r="AU34" s="139"/>
      <c r="AV34" s="139"/>
      <c r="AW34" s="139"/>
      <c r="AX34" s="139"/>
      <c r="AY34" s="139"/>
      <c r="AZ34" s="139"/>
      <c r="BA34" s="139"/>
      <c r="BB34" s="139"/>
      <c r="BC34" s="139"/>
      <c r="BD34" s="139"/>
      <c r="BE34" s="59">
        <v>42.650759783000005</v>
      </c>
      <c r="BF34" s="59">
        <v>6.0022257469999998</v>
      </c>
      <c r="BG34" s="59">
        <v>51.347014469999998</v>
      </c>
      <c r="BH34" s="60">
        <v>57.349240216999995</v>
      </c>
      <c r="BI34" s="215" t="s">
        <v>356</v>
      </c>
      <c r="BK34" s="455">
        <v>0</v>
      </c>
      <c r="BL34" s="456">
        <v>5.1904640459999998</v>
      </c>
      <c r="BM34" s="456">
        <v>6.0022257469999998</v>
      </c>
      <c r="BN34" s="456">
        <v>13.84927766</v>
      </c>
      <c r="BO34" s="456">
        <v>37.497736809999999</v>
      </c>
      <c r="BP34" s="165">
        <f t="shared" si="0"/>
        <v>100</v>
      </c>
      <c r="BQ34" s="26">
        <v>0</v>
      </c>
      <c r="BR34" s="77">
        <v>11.13738478</v>
      </c>
      <c r="BS34" s="77">
        <v>8.8490056119999991</v>
      </c>
      <c r="BT34" s="77">
        <v>10.69318324</v>
      </c>
      <c r="BU34" s="68">
        <v>20.14897058</v>
      </c>
      <c r="BV34" s="77">
        <v>0</v>
      </c>
      <c r="BW34" s="77">
        <v>12.36730032</v>
      </c>
      <c r="BX34" s="77">
        <v>9.8880733799999998</v>
      </c>
      <c r="BY34" s="77">
        <v>14.581380920000001</v>
      </c>
      <c r="BZ34" s="77">
        <v>34.553695910000002</v>
      </c>
      <c r="CA34" s="26" t="s">
        <v>220</v>
      </c>
      <c r="CB34" s="77" t="s">
        <v>220</v>
      </c>
      <c r="CC34" s="77" t="s">
        <v>220</v>
      </c>
      <c r="CD34" s="77" t="s">
        <v>220</v>
      </c>
      <c r="CE34" s="68" t="s">
        <v>220</v>
      </c>
    </row>
    <row r="35" spans="1:83" ht="14.4" customHeight="1" x14ac:dyDescent="0.3">
      <c r="A35" s="41" t="s">
        <v>369</v>
      </c>
      <c r="B35" s="41" t="s">
        <v>484</v>
      </c>
      <c r="C35" s="146" t="s">
        <v>517</v>
      </c>
      <c r="D35" s="146" t="s">
        <v>518</v>
      </c>
      <c r="E35" s="181" t="s">
        <v>200</v>
      </c>
      <c r="F35" s="157" t="s">
        <v>500</v>
      </c>
      <c r="G35" s="158" t="s">
        <v>335</v>
      </c>
      <c r="J35" s="156" t="s">
        <v>188</v>
      </c>
      <c r="K35" s="156" t="s">
        <v>201</v>
      </c>
      <c r="L35" s="303"/>
      <c r="M35" s="303"/>
      <c r="N35" s="303"/>
      <c r="O35" s="303"/>
      <c r="P35" s="182"/>
      <c r="W35" s="139"/>
      <c r="X35" s="139"/>
      <c r="Y35" s="139"/>
      <c r="Z35" s="139"/>
      <c r="AA35" s="139"/>
      <c r="AB35" s="139"/>
      <c r="AC35" s="139"/>
      <c r="AD35" s="139"/>
      <c r="AE35" s="139"/>
      <c r="AF35" s="139"/>
      <c r="AG35" s="139"/>
      <c r="AH35" s="139"/>
      <c r="AI35" s="61">
        <v>37.460295737000003</v>
      </c>
      <c r="AJ35" s="61">
        <v>11.192689793</v>
      </c>
      <c r="AK35" s="61">
        <v>51.347014469999998</v>
      </c>
      <c r="AL35" s="27">
        <v>62.539704262999997</v>
      </c>
      <c r="AS35" s="139"/>
      <c r="AT35" s="139"/>
      <c r="AU35" s="139"/>
      <c r="AV35" s="139"/>
      <c r="AW35" s="139"/>
      <c r="AX35" s="139"/>
      <c r="AY35" s="139"/>
      <c r="AZ35" s="139"/>
      <c r="BA35" s="139"/>
      <c r="BB35" s="139"/>
      <c r="BC35" s="139"/>
      <c r="BD35" s="139"/>
      <c r="BE35" s="59">
        <v>42.650759783000005</v>
      </c>
      <c r="BF35" s="59">
        <v>6.0022257469999998</v>
      </c>
      <c r="BG35" s="59">
        <v>51.347014469999998</v>
      </c>
      <c r="BH35" s="60">
        <v>57.349240216999995</v>
      </c>
      <c r="BI35" s="215" t="s">
        <v>356</v>
      </c>
      <c r="BK35" s="455">
        <v>0</v>
      </c>
      <c r="BL35" s="456">
        <v>5.1904640459999998</v>
      </c>
      <c r="BM35" s="456">
        <v>6.0022257469999998</v>
      </c>
      <c r="BN35" s="456">
        <v>13.84927766</v>
      </c>
      <c r="BO35" s="456">
        <v>37.497736809999999</v>
      </c>
      <c r="BP35" s="165">
        <f t="shared" ref="BP35:BP66" si="1">100-BK35</f>
        <v>100</v>
      </c>
      <c r="BQ35" s="26">
        <v>0</v>
      </c>
      <c r="BR35" s="77">
        <v>11.13738478</v>
      </c>
      <c r="BS35" s="77">
        <v>8.8490056119999991</v>
      </c>
      <c r="BT35" s="77">
        <v>10.69318324</v>
      </c>
      <c r="BU35" s="68">
        <v>20.14897058</v>
      </c>
      <c r="BV35" s="77">
        <v>0</v>
      </c>
      <c r="BW35" s="77">
        <v>12.77221267</v>
      </c>
      <c r="BX35" s="77">
        <v>9.9622708830000004</v>
      </c>
      <c r="BY35" s="77">
        <v>11.441268519999999</v>
      </c>
      <c r="BZ35" s="77">
        <v>22.724080749999999</v>
      </c>
      <c r="CA35" s="26" t="s">
        <v>220</v>
      </c>
      <c r="CB35" s="77" t="s">
        <v>220</v>
      </c>
      <c r="CC35" s="77" t="s">
        <v>220</v>
      </c>
      <c r="CD35" s="77" t="s">
        <v>220</v>
      </c>
      <c r="CE35" s="68" t="s">
        <v>220</v>
      </c>
    </row>
    <row r="36" spans="1:83" ht="14.4" customHeight="1" x14ac:dyDescent="0.3">
      <c r="A36" s="41" t="s">
        <v>369</v>
      </c>
      <c r="B36" s="41" t="s">
        <v>445</v>
      </c>
      <c r="C36" s="146" t="s">
        <v>446</v>
      </c>
      <c r="D36" s="146" t="s">
        <v>447</v>
      </c>
      <c r="E36" s="183" t="s">
        <v>186</v>
      </c>
      <c r="F36" s="157" t="s">
        <v>402</v>
      </c>
      <c r="G36" s="158" t="s">
        <v>335</v>
      </c>
      <c r="I36" s="156" t="s">
        <v>188</v>
      </c>
      <c r="J36" s="156" t="s">
        <v>188</v>
      </c>
      <c r="K36" s="156" t="s">
        <v>188</v>
      </c>
      <c r="L36" s="303"/>
      <c r="M36" s="303"/>
      <c r="N36" s="303"/>
      <c r="O36" s="303"/>
      <c r="P36" s="182"/>
      <c r="W36" s="139"/>
      <c r="X36" s="139"/>
      <c r="Y36" s="139"/>
      <c r="Z36" s="139"/>
      <c r="AA36" s="139"/>
      <c r="AB36" s="139"/>
      <c r="AC36" s="139"/>
      <c r="AD36" s="139"/>
      <c r="AE36" s="139"/>
      <c r="AF36" s="139"/>
      <c r="AG36" s="139"/>
      <c r="AH36" s="139"/>
      <c r="AI36" s="61">
        <v>75.648653687307444</v>
      </c>
      <c r="AJ36" s="61">
        <v>14.382921197113269</v>
      </c>
      <c r="AK36" s="61">
        <v>9.9684251155792971</v>
      </c>
      <c r="AL36" s="27">
        <v>24.351346312692566</v>
      </c>
      <c r="AS36" s="139"/>
      <c r="AT36" s="139"/>
      <c r="AU36" s="139"/>
      <c r="AV36" s="139"/>
      <c r="AW36" s="139"/>
      <c r="AX36" s="139"/>
      <c r="AY36" s="139"/>
      <c r="AZ36" s="139"/>
      <c r="BA36" s="139"/>
      <c r="BB36" s="139"/>
      <c r="BC36" s="139"/>
      <c r="BD36" s="139"/>
      <c r="BE36" s="59">
        <v>80.616734334955993</v>
      </c>
      <c r="BF36" s="59">
        <v>9.4148405494647136</v>
      </c>
      <c r="BG36" s="59">
        <v>9.9684251155792971</v>
      </c>
      <c r="BH36" s="60">
        <v>19.383265665044011</v>
      </c>
      <c r="BI36" s="215" t="s">
        <v>356</v>
      </c>
      <c r="BK36" s="455">
        <v>0.29028268000000002</v>
      </c>
      <c r="BL36" s="456">
        <v>4.9536591699999999</v>
      </c>
      <c r="BM36" s="456">
        <v>9.3875108980000004</v>
      </c>
      <c r="BN36" s="456">
        <v>7.1116093019999997</v>
      </c>
      <c r="BO36" s="456">
        <v>2.8278792020000001</v>
      </c>
      <c r="BP36" s="165">
        <f t="shared" si="1"/>
        <v>99.709717319999996</v>
      </c>
      <c r="BQ36" s="26">
        <v>0.58927470800000004</v>
      </c>
      <c r="BR36" s="77">
        <v>2.964283585</v>
      </c>
      <c r="BS36" s="77">
        <v>5.3924146469999998</v>
      </c>
      <c r="BT36" s="77">
        <v>4.00908438</v>
      </c>
      <c r="BU36" s="68">
        <v>1.521317612</v>
      </c>
      <c r="BV36" s="77">
        <v>1.1162428209999999</v>
      </c>
      <c r="BW36" s="77">
        <v>5.5323913039999999</v>
      </c>
      <c r="BX36" s="77">
        <v>10.197566719999999</v>
      </c>
      <c r="BY36" s="77">
        <v>8.1463837530000003</v>
      </c>
      <c r="BZ36" s="77">
        <v>3.2641487910000002</v>
      </c>
      <c r="CA36" s="26" t="s">
        <v>220</v>
      </c>
      <c r="CB36" s="77" t="s">
        <v>220</v>
      </c>
      <c r="CC36" s="77" t="s">
        <v>220</v>
      </c>
      <c r="CD36" s="77" t="s">
        <v>220</v>
      </c>
      <c r="CE36" s="68" t="s">
        <v>220</v>
      </c>
    </row>
    <row r="37" spans="1:83" ht="14.4" customHeight="1" x14ac:dyDescent="0.3">
      <c r="A37" s="86" t="s">
        <v>369</v>
      </c>
      <c r="B37" s="86" t="s">
        <v>442</v>
      </c>
      <c r="C37" s="147" t="s">
        <v>443</v>
      </c>
      <c r="D37" s="147" t="s">
        <v>444</v>
      </c>
      <c r="E37" s="181" t="s">
        <v>186</v>
      </c>
      <c r="F37" s="157" t="s">
        <v>402</v>
      </c>
      <c r="G37" s="158" t="s">
        <v>335</v>
      </c>
      <c r="I37" s="159"/>
      <c r="J37" s="159" t="s">
        <v>188</v>
      </c>
      <c r="K37" s="156" t="s">
        <v>188</v>
      </c>
      <c r="L37" s="303"/>
      <c r="M37" s="303"/>
      <c r="N37" s="303"/>
      <c r="O37" s="303"/>
      <c r="P37" s="182"/>
      <c r="Q37" s="69"/>
      <c r="R37" s="86"/>
      <c r="S37" s="86"/>
      <c r="T37" s="86"/>
      <c r="U37" s="86"/>
      <c r="V37" s="86"/>
      <c r="W37" s="139"/>
      <c r="X37" s="139"/>
      <c r="Y37" s="139"/>
      <c r="Z37" s="139"/>
      <c r="AA37" s="139"/>
      <c r="AB37" s="139"/>
      <c r="AC37" s="139"/>
      <c r="AD37" s="139"/>
      <c r="AE37" s="139"/>
      <c r="AF37" s="139"/>
      <c r="AG37" s="139"/>
      <c r="AH37" s="139"/>
      <c r="AI37" s="61">
        <v>83.882415751124057</v>
      </c>
      <c r="AJ37" s="61">
        <v>11.300850122026468</v>
      </c>
      <c r="AK37" s="61">
        <v>4.816734126849469</v>
      </c>
      <c r="AL37" s="27">
        <v>16.117584248875936</v>
      </c>
      <c r="AM37" s="86"/>
      <c r="AN37" s="86"/>
      <c r="AO37" s="86"/>
      <c r="AP37" s="86"/>
      <c r="AQ37" s="86"/>
      <c r="AR37" s="86"/>
      <c r="AS37" s="139"/>
      <c r="AT37" s="139"/>
      <c r="AU37" s="139"/>
      <c r="AV37" s="139"/>
      <c r="AW37" s="139"/>
      <c r="AX37" s="139"/>
      <c r="AY37" s="139"/>
      <c r="AZ37" s="139"/>
      <c r="BA37" s="139"/>
      <c r="BB37" s="139"/>
      <c r="BC37" s="139"/>
      <c r="BD37" s="139"/>
      <c r="BE37" s="59">
        <v>87.831960793443614</v>
      </c>
      <c r="BF37" s="59">
        <v>7.3513050797069228</v>
      </c>
      <c r="BG37" s="59">
        <v>4.816734126849469</v>
      </c>
      <c r="BH37" s="60">
        <v>12.168039206556392</v>
      </c>
      <c r="BI37" s="215" t="s">
        <v>356</v>
      </c>
      <c r="BK37" s="455">
        <v>9.1633017999999997E-2</v>
      </c>
      <c r="BL37" s="456">
        <v>3.9459259549999999</v>
      </c>
      <c r="BM37" s="456">
        <v>7.3445688569999996</v>
      </c>
      <c r="BN37" s="456">
        <v>4.1683427890000004</v>
      </c>
      <c r="BO37" s="456">
        <v>0.64397761899999995</v>
      </c>
      <c r="BP37" s="165">
        <f t="shared" si="1"/>
        <v>99.908366982000004</v>
      </c>
      <c r="BQ37" s="26">
        <v>0.118178934</v>
      </c>
      <c r="BR37" s="77">
        <v>2.0744577400000002</v>
      </c>
      <c r="BS37" s="77">
        <v>3.9176544359999999</v>
      </c>
      <c r="BT37" s="77">
        <v>2.2641214029999999</v>
      </c>
      <c r="BU37" s="68">
        <v>0.345283693</v>
      </c>
      <c r="BV37" s="77">
        <v>0.26263123399999999</v>
      </c>
      <c r="BW37" s="77">
        <v>5.1116028719999997</v>
      </c>
      <c r="BX37" s="77">
        <v>9.2202767570000006</v>
      </c>
      <c r="BY37" s="77">
        <v>5.7302072529999997</v>
      </c>
      <c r="BZ37" s="77">
        <v>0.97514493700000004</v>
      </c>
      <c r="CA37" s="26" t="s">
        <v>220</v>
      </c>
      <c r="CB37" s="77" t="s">
        <v>220</v>
      </c>
      <c r="CC37" s="77" t="s">
        <v>220</v>
      </c>
      <c r="CD37" s="77" t="s">
        <v>220</v>
      </c>
      <c r="CE37" s="68" t="s">
        <v>220</v>
      </c>
    </row>
    <row r="38" spans="1:83" ht="14.4" customHeight="1" x14ac:dyDescent="0.3">
      <c r="A38" s="41" t="s">
        <v>369</v>
      </c>
      <c r="B38" s="41" t="s">
        <v>487</v>
      </c>
      <c r="C38" s="146" t="s">
        <v>488</v>
      </c>
      <c r="D38" s="146" t="s">
        <v>489</v>
      </c>
      <c r="E38" s="181" t="s">
        <v>186</v>
      </c>
      <c r="F38" s="157" t="s">
        <v>728</v>
      </c>
      <c r="G38" s="158" t="s">
        <v>335</v>
      </c>
      <c r="J38" s="156" t="s">
        <v>188</v>
      </c>
      <c r="K38" s="156" t="s">
        <v>188</v>
      </c>
      <c r="L38" s="303"/>
      <c r="M38" s="303"/>
      <c r="N38" s="303"/>
      <c r="O38" s="303"/>
      <c r="P38" s="182"/>
      <c r="W38" s="139"/>
      <c r="X38" s="139"/>
      <c r="Y38" s="139"/>
      <c r="Z38" s="139"/>
      <c r="AA38" s="139"/>
      <c r="AB38" s="139"/>
      <c r="AC38" s="139"/>
      <c r="AD38" s="139"/>
      <c r="AE38" s="139"/>
      <c r="AF38" s="139"/>
      <c r="AG38" s="139"/>
      <c r="AH38" s="139"/>
      <c r="AI38" s="61">
        <v>52.578403379998647</v>
      </c>
      <c r="AJ38" s="61">
        <v>32.883355924002046</v>
      </c>
      <c r="AK38" s="61">
        <v>14.538240695999303</v>
      </c>
      <c r="AL38" s="27">
        <v>47.421596620001353</v>
      </c>
      <c r="AS38" s="139"/>
      <c r="AT38" s="139"/>
      <c r="AU38" s="139"/>
      <c r="AV38" s="139"/>
      <c r="AW38" s="139"/>
      <c r="AX38" s="139"/>
      <c r="AY38" s="139"/>
      <c r="AZ38" s="139"/>
      <c r="BA38" s="139"/>
      <c r="BB38" s="139"/>
      <c r="BC38" s="139"/>
      <c r="BD38" s="139"/>
      <c r="BE38" s="59">
        <v>64.245467266827191</v>
      </c>
      <c r="BF38" s="59">
        <v>21.216292037173503</v>
      </c>
      <c r="BG38" s="59">
        <v>14.538240695999303</v>
      </c>
      <c r="BH38" s="60">
        <v>35.754532733172809</v>
      </c>
      <c r="BI38" s="215" t="s">
        <v>356</v>
      </c>
      <c r="BK38" s="455">
        <v>0.26382813300000002</v>
      </c>
      <c r="BL38" s="456">
        <v>11.63628289</v>
      </c>
      <c r="BM38" s="456">
        <v>21.160317490000001</v>
      </c>
      <c r="BN38" s="456">
        <v>12.834510809999999</v>
      </c>
      <c r="BO38" s="456">
        <v>1.6653739169999999</v>
      </c>
      <c r="BP38" s="165">
        <f t="shared" si="1"/>
        <v>99.736171866999996</v>
      </c>
      <c r="BQ38" s="26">
        <v>0.41844131299999998</v>
      </c>
      <c r="BR38" s="77">
        <v>7.0630810249999998</v>
      </c>
      <c r="BS38" s="77">
        <v>13.266605459999999</v>
      </c>
      <c r="BT38" s="77">
        <v>8.1009339259999997</v>
      </c>
      <c r="BU38" s="68">
        <v>1.0362778779999999</v>
      </c>
      <c r="BV38" s="77">
        <v>0.82631303199999995</v>
      </c>
      <c r="BW38" s="77">
        <v>7.5922889810000003</v>
      </c>
      <c r="BX38" s="77">
        <v>12.37175298</v>
      </c>
      <c r="BY38" s="77">
        <v>8.9536842730000004</v>
      </c>
      <c r="BZ38" s="77">
        <v>1.1848545580000001</v>
      </c>
      <c r="CA38" s="26" t="s">
        <v>220</v>
      </c>
      <c r="CB38" s="77" t="s">
        <v>220</v>
      </c>
      <c r="CC38" s="77" t="s">
        <v>220</v>
      </c>
      <c r="CD38" s="77" t="s">
        <v>220</v>
      </c>
      <c r="CE38" s="68" t="s">
        <v>220</v>
      </c>
    </row>
    <row r="39" spans="1:83" ht="14.4" customHeight="1" x14ac:dyDescent="0.3">
      <c r="A39" s="41" t="s">
        <v>369</v>
      </c>
      <c r="B39" s="41" t="s">
        <v>439</v>
      </c>
      <c r="C39" s="146" t="s">
        <v>440</v>
      </c>
      <c r="D39" s="146" t="s">
        <v>441</v>
      </c>
      <c r="E39" s="181" t="s">
        <v>186</v>
      </c>
      <c r="F39" s="157" t="s">
        <v>402</v>
      </c>
      <c r="G39" s="158" t="s">
        <v>185</v>
      </c>
      <c r="I39" s="156" t="s">
        <v>188</v>
      </c>
      <c r="J39" s="156" t="s">
        <v>188</v>
      </c>
      <c r="K39" s="156" t="s">
        <v>188</v>
      </c>
      <c r="L39" s="303"/>
      <c r="M39" s="303"/>
      <c r="N39" s="303"/>
      <c r="O39" s="303"/>
      <c r="P39" s="182"/>
      <c r="W39" s="139"/>
      <c r="X39" s="139"/>
      <c r="Y39" s="139"/>
      <c r="Z39" s="139"/>
      <c r="AA39" s="139"/>
      <c r="AB39" s="139"/>
      <c r="AC39" s="139"/>
      <c r="AD39" s="139"/>
      <c r="AE39" s="139"/>
      <c r="AF39" s="139"/>
      <c r="AG39" s="139"/>
      <c r="AH39" s="139"/>
      <c r="AI39" s="61">
        <v>88.011284008678231</v>
      </c>
      <c r="AJ39" s="61">
        <v>7.2274828376970719</v>
      </c>
      <c r="AK39" s="61">
        <v>4.7612331536247066</v>
      </c>
      <c r="AL39" s="27">
        <v>11.988715991321779</v>
      </c>
      <c r="AS39" s="139"/>
      <c r="AT39" s="139"/>
      <c r="AU39" s="139"/>
      <c r="AV39" s="139"/>
      <c r="AW39" s="139"/>
      <c r="AX39" s="139"/>
      <c r="AY39" s="139"/>
      <c r="AZ39" s="139"/>
      <c r="BA39" s="139"/>
      <c r="BB39" s="139"/>
      <c r="BC39" s="139"/>
      <c r="BD39" s="139"/>
      <c r="BE39" s="59">
        <v>90.536456501116334</v>
      </c>
      <c r="BF39" s="59">
        <v>4.7023103452589625</v>
      </c>
      <c r="BG39" s="59">
        <v>4.7612331536247066</v>
      </c>
      <c r="BH39" s="60">
        <v>9.46354349888367</v>
      </c>
      <c r="BI39" s="215" t="s">
        <v>356</v>
      </c>
      <c r="BK39" s="455">
        <v>0.146860559</v>
      </c>
      <c r="BL39" s="456">
        <v>2.5214640099999999</v>
      </c>
      <c r="BM39" s="456">
        <v>4.695404506</v>
      </c>
      <c r="BN39" s="456">
        <v>3.4449118969999999</v>
      </c>
      <c r="BO39" s="456">
        <v>1.3093288830000001</v>
      </c>
      <c r="BP39" s="165">
        <f t="shared" si="1"/>
        <v>99.853139440999996</v>
      </c>
      <c r="BQ39" s="26">
        <v>0.344340225</v>
      </c>
      <c r="BR39" s="77">
        <v>1.7429487159999999</v>
      </c>
      <c r="BS39" s="77">
        <v>3.1356044320000001</v>
      </c>
      <c r="BT39" s="77">
        <v>2.2627467160000001</v>
      </c>
      <c r="BU39" s="68">
        <v>0.82034997200000004</v>
      </c>
      <c r="BV39" s="77">
        <v>0.79084970700000001</v>
      </c>
      <c r="BW39" s="77">
        <v>5.3849524009999996</v>
      </c>
      <c r="BX39" s="77">
        <v>11.469061310000001</v>
      </c>
      <c r="BY39" s="77">
        <v>8.4460479779999993</v>
      </c>
      <c r="BZ39" s="77">
        <v>2.8799671490000001</v>
      </c>
      <c r="CA39" s="26" t="s">
        <v>220</v>
      </c>
      <c r="CB39" s="77" t="s">
        <v>220</v>
      </c>
      <c r="CC39" s="77" t="s">
        <v>220</v>
      </c>
      <c r="CD39" s="77" t="s">
        <v>220</v>
      </c>
      <c r="CE39" s="68" t="s">
        <v>220</v>
      </c>
    </row>
    <row r="40" spans="1:83" ht="14.4" customHeight="1" x14ac:dyDescent="0.3">
      <c r="A40" s="41" t="s">
        <v>369</v>
      </c>
      <c r="B40" s="41" t="s">
        <v>484</v>
      </c>
      <c r="C40" s="146" t="s">
        <v>485</v>
      </c>
      <c r="D40" s="146" t="s">
        <v>486</v>
      </c>
      <c r="E40" s="181" t="s">
        <v>186</v>
      </c>
      <c r="F40" s="157" t="s">
        <v>728</v>
      </c>
      <c r="G40" s="158" t="s">
        <v>335</v>
      </c>
      <c r="J40" s="156" t="s">
        <v>188</v>
      </c>
      <c r="K40" s="156" t="s">
        <v>188</v>
      </c>
      <c r="L40" s="303"/>
      <c r="M40" s="303"/>
      <c r="N40" s="303"/>
      <c r="O40" s="303"/>
      <c r="P40" s="182"/>
      <c r="W40" s="139"/>
      <c r="X40" s="139"/>
      <c r="Y40" s="139"/>
      <c r="Z40" s="139"/>
      <c r="AA40" s="139"/>
      <c r="AB40" s="139"/>
      <c r="AC40" s="139"/>
      <c r="AD40" s="139"/>
      <c r="AE40" s="139"/>
      <c r="AF40" s="139"/>
      <c r="AG40" s="139"/>
      <c r="AH40" s="139"/>
      <c r="AI40" s="61">
        <v>50.1449106894095</v>
      </c>
      <c r="AJ40" s="61">
        <v>29.558336620395337</v>
      </c>
      <c r="AK40" s="61">
        <v>20.296752690195166</v>
      </c>
      <c r="AL40" s="27">
        <v>49.8550893105905</v>
      </c>
      <c r="AS40" s="139"/>
      <c r="AT40" s="139"/>
      <c r="AU40" s="139"/>
      <c r="AV40" s="139"/>
      <c r="AW40" s="139"/>
      <c r="AX40" s="139"/>
      <c r="AY40" s="139"/>
      <c r="AZ40" s="139"/>
      <c r="BA40" s="139"/>
      <c r="BB40" s="139"/>
      <c r="BC40" s="139"/>
      <c r="BD40" s="139"/>
      <c r="BE40" s="59">
        <v>59.909300435813464</v>
      </c>
      <c r="BF40" s="59">
        <v>19.79394687399137</v>
      </c>
      <c r="BG40" s="59">
        <v>20.296752690195166</v>
      </c>
      <c r="BH40" s="60">
        <v>40.090699564186536</v>
      </c>
      <c r="BI40" s="215" t="s">
        <v>356</v>
      </c>
      <c r="BK40" s="455">
        <v>0.383364341</v>
      </c>
      <c r="BL40" s="456">
        <v>9.7269565579999995</v>
      </c>
      <c r="BM40" s="456">
        <v>19.71806394</v>
      </c>
      <c r="BN40" s="456">
        <v>14.843546229999999</v>
      </c>
      <c r="BO40" s="456">
        <v>5.3753959480000004</v>
      </c>
      <c r="BP40" s="165">
        <f t="shared" si="1"/>
        <v>99.616635658999996</v>
      </c>
      <c r="BQ40" s="26">
        <v>0.66463191899999996</v>
      </c>
      <c r="BR40" s="77">
        <v>6.319122052</v>
      </c>
      <c r="BS40" s="77">
        <v>12.6386082</v>
      </c>
      <c r="BT40" s="77">
        <v>9.3680216909999992</v>
      </c>
      <c r="BU40" s="68">
        <v>3.2214474480000002</v>
      </c>
      <c r="BV40" s="77">
        <v>0.49822054999999998</v>
      </c>
      <c r="BW40" s="77">
        <v>7.3673638539999997</v>
      </c>
      <c r="BX40" s="77">
        <v>12.19970045</v>
      </c>
      <c r="BY40" s="77">
        <v>8.13712065</v>
      </c>
      <c r="BZ40" s="77">
        <v>2.323634518</v>
      </c>
      <c r="CA40" s="26" t="s">
        <v>220</v>
      </c>
      <c r="CB40" s="77" t="s">
        <v>220</v>
      </c>
      <c r="CC40" s="77" t="s">
        <v>220</v>
      </c>
      <c r="CD40" s="77" t="s">
        <v>220</v>
      </c>
      <c r="CE40" s="68" t="s">
        <v>220</v>
      </c>
    </row>
    <row r="41" spans="1:83" ht="14.4" customHeight="1" x14ac:dyDescent="0.3">
      <c r="A41" s="86" t="s">
        <v>369</v>
      </c>
      <c r="B41" s="86" t="s">
        <v>413</v>
      </c>
      <c r="C41" s="147" t="s">
        <v>414</v>
      </c>
      <c r="D41" s="146" t="s">
        <v>415</v>
      </c>
      <c r="E41" s="181" t="s">
        <v>186</v>
      </c>
      <c r="F41" s="157" t="s">
        <v>726</v>
      </c>
      <c r="G41" s="158" t="s">
        <v>185</v>
      </c>
      <c r="H41" s="136" t="s">
        <v>416</v>
      </c>
      <c r="I41" s="159" t="s">
        <v>187</v>
      </c>
      <c r="J41" s="159" t="s">
        <v>187</v>
      </c>
      <c r="K41" s="159" t="s">
        <v>187</v>
      </c>
      <c r="L41" s="302" t="s">
        <v>187</v>
      </c>
      <c r="M41" s="302"/>
      <c r="N41" s="302"/>
      <c r="O41" s="302"/>
      <c r="P41" s="182"/>
      <c r="Q41" s="179"/>
      <c r="R41" s="145"/>
      <c r="S41" s="145"/>
      <c r="T41" s="145"/>
      <c r="U41" s="145"/>
      <c r="V41" s="145"/>
      <c r="W41" s="139"/>
      <c r="X41" s="139"/>
      <c r="Y41" s="139"/>
      <c r="Z41" s="139"/>
      <c r="AA41" s="139"/>
      <c r="AB41" s="139"/>
      <c r="AC41" s="139"/>
      <c r="AD41" s="139"/>
      <c r="AE41" s="139"/>
      <c r="AF41" s="139"/>
      <c r="AG41" s="139"/>
      <c r="AH41" s="139"/>
      <c r="AI41" s="61">
        <v>82.057023363310606</v>
      </c>
      <c r="AJ41" s="61">
        <v>10.585018434113055</v>
      </c>
      <c r="AK41" s="61">
        <v>7.3579582025763406</v>
      </c>
      <c r="AL41" s="27">
        <v>17.942976636689394</v>
      </c>
      <c r="AM41" s="145"/>
      <c r="AN41" s="145"/>
      <c r="AO41" s="145"/>
      <c r="AP41" s="145"/>
      <c r="AQ41" s="145"/>
      <c r="AR41" s="145"/>
      <c r="AS41" s="139"/>
      <c r="AT41" s="139"/>
      <c r="AU41" s="139"/>
      <c r="AV41" s="139"/>
      <c r="AW41" s="139"/>
      <c r="AX41" s="139"/>
      <c r="AY41" s="139"/>
      <c r="AZ41" s="139"/>
      <c r="BA41" s="139"/>
      <c r="BB41" s="139"/>
      <c r="BC41" s="139"/>
      <c r="BD41" s="139"/>
      <c r="BE41" s="59">
        <v>85.753497226107882</v>
      </c>
      <c r="BF41" s="59">
        <v>6.8885445713157729</v>
      </c>
      <c r="BG41" s="59">
        <v>7.3579582025763406</v>
      </c>
      <c r="BH41" s="60">
        <v>14.246502773892114</v>
      </c>
      <c r="BI41" s="215" t="s">
        <v>356</v>
      </c>
      <c r="BK41" s="455">
        <v>0.216744933</v>
      </c>
      <c r="BL41" s="456">
        <v>3.6884619430000001</v>
      </c>
      <c r="BM41" s="456">
        <v>6.8736139999999999</v>
      </c>
      <c r="BN41" s="456">
        <v>5.2511221499999996</v>
      </c>
      <c r="BO41" s="456">
        <v>2.0908880509999999</v>
      </c>
      <c r="BP41" s="165">
        <f t="shared" si="1"/>
        <v>99.783255066999999</v>
      </c>
      <c r="BQ41" s="26">
        <v>0.37520087400000002</v>
      </c>
      <c r="BR41" s="77">
        <v>1.862484531</v>
      </c>
      <c r="BS41" s="77">
        <v>3.3189213049999999</v>
      </c>
      <c r="BT41" s="77">
        <v>2.4799437690000001</v>
      </c>
      <c r="BU41" s="68">
        <v>0.94214935700000002</v>
      </c>
      <c r="BV41" s="77">
        <v>0.42644215800000002</v>
      </c>
      <c r="BW41" s="77">
        <v>3.3281124009999998</v>
      </c>
      <c r="BX41" s="77">
        <v>6.2159863770000001</v>
      </c>
      <c r="BY41" s="77">
        <v>4.589338626</v>
      </c>
      <c r="BZ41" s="77">
        <v>1.8757589299999999</v>
      </c>
      <c r="CA41" s="26" t="s">
        <v>220</v>
      </c>
      <c r="CB41" s="77" t="s">
        <v>220</v>
      </c>
      <c r="CC41" s="77" t="s">
        <v>220</v>
      </c>
      <c r="CD41" s="77" t="s">
        <v>220</v>
      </c>
      <c r="CE41" s="68" t="s">
        <v>220</v>
      </c>
    </row>
    <row r="42" spans="1:83" ht="14.4" customHeight="1" x14ac:dyDescent="0.3">
      <c r="A42" s="86" t="s">
        <v>369</v>
      </c>
      <c r="B42" s="86" t="s">
        <v>481</v>
      </c>
      <c r="C42" s="147" t="s">
        <v>482</v>
      </c>
      <c r="D42" s="147" t="s">
        <v>483</v>
      </c>
      <c r="E42" s="181" t="s">
        <v>186</v>
      </c>
      <c r="F42" s="157" t="s">
        <v>728</v>
      </c>
      <c r="G42" s="158" t="s">
        <v>185</v>
      </c>
      <c r="I42" s="159" t="s">
        <v>188</v>
      </c>
      <c r="J42" s="159" t="s">
        <v>188</v>
      </c>
      <c r="K42" s="159" t="s">
        <v>188</v>
      </c>
      <c r="L42" s="302"/>
      <c r="M42" s="302"/>
      <c r="N42" s="302"/>
      <c r="O42" s="302"/>
      <c r="P42" s="182"/>
      <c r="Q42" s="69"/>
      <c r="R42" s="86"/>
      <c r="S42" s="86"/>
      <c r="T42" s="86"/>
      <c r="U42" s="86"/>
      <c r="V42" s="86"/>
      <c r="W42" s="139"/>
      <c r="X42" s="139"/>
      <c r="Y42" s="139"/>
      <c r="Z42" s="139"/>
      <c r="AA42" s="139"/>
      <c r="AB42" s="139"/>
      <c r="AC42" s="139"/>
      <c r="AD42" s="139"/>
      <c r="AE42" s="139"/>
      <c r="AF42" s="139"/>
      <c r="AG42" s="139"/>
      <c r="AH42" s="139"/>
      <c r="AI42" s="61">
        <v>63.370221260943616</v>
      </c>
      <c r="AJ42" s="61">
        <v>21.606902451796206</v>
      </c>
      <c r="AK42" s="61">
        <v>15.022876287260184</v>
      </c>
      <c r="AL42" s="27">
        <v>36.629778739056391</v>
      </c>
      <c r="AM42" s="86"/>
      <c r="AN42" s="86"/>
      <c r="AO42" s="86"/>
      <c r="AP42" s="86"/>
      <c r="AQ42" s="86"/>
      <c r="AR42" s="86"/>
      <c r="AS42" s="139"/>
      <c r="AT42" s="139"/>
      <c r="AU42" s="139"/>
      <c r="AV42" s="139"/>
      <c r="AW42" s="139"/>
      <c r="AX42" s="139"/>
      <c r="AY42" s="139"/>
      <c r="AZ42" s="139"/>
      <c r="BA42" s="139"/>
      <c r="BB42" s="139"/>
      <c r="BC42" s="139"/>
      <c r="BD42" s="139"/>
      <c r="BE42" s="59">
        <v>70.918111670108914</v>
      </c>
      <c r="BF42" s="59">
        <v>14.059012042630897</v>
      </c>
      <c r="BG42" s="59">
        <v>15.022876287260184</v>
      </c>
      <c r="BH42" s="60">
        <v>29.081888329891079</v>
      </c>
      <c r="BI42" s="215" t="s">
        <v>356</v>
      </c>
      <c r="BK42" s="455">
        <v>0.34305833499999999</v>
      </c>
      <c r="BL42" s="456">
        <v>7.5219967419999998</v>
      </c>
      <c r="BM42" s="456">
        <v>14.01078143</v>
      </c>
      <c r="BN42" s="456">
        <v>10.80403737</v>
      </c>
      <c r="BO42" s="456">
        <v>4.1673016880000002</v>
      </c>
      <c r="BP42" s="165">
        <f t="shared" si="1"/>
        <v>99.656941665000005</v>
      </c>
      <c r="BQ42" s="26">
        <v>0.62226204299999999</v>
      </c>
      <c r="BR42" s="77">
        <v>4.9971736599999996</v>
      </c>
      <c r="BS42" s="77">
        <v>9.1666341080000002</v>
      </c>
      <c r="BT42" s="77">
        <v>6.9398996259999999</v>
      </c>
      <c r="BU42" s="68">
        <v>2.5507491099999999</v>
      </c>
      <c r="BV42" s="77">
        <v>0.75615041900000002</v>
      </c>
      <c r="BW42" s="77">
        <v>7.087922077</v>
      </c>
      <c r="BX42" s="77">
        <v>13.934668090000001</v>
      </c>
      <c r="BY42" s="77">
        <v>10.144409639999999</v>
      </c>
      <c r="BZ42" s="77">
        <v>3.7187895229999999</v>
      </c>
      <c r="CA42" s="26" t="s">
        <v>220</v>
      </c>
      <c r="CB42" s="77" t="s">
        <v>220</v>
      </c>
      <c r="CC42" s="77" t="s">
        <v>220</v>
      </c>
      <c r="CD42" s="77" t="s">
        <v>220</v>
      </c>
      <c r="CE42" s="68" t="s">
        <v>220</v>
      </c>
    </row>
    <row r="43" spans="1:83" ht="14.4" customHeight="1" x14ac:dyDescent="0.3">
      <c r="A43" s="41" t="s">
        <v>369</v>
      </c>
      <c r="B43" s="41" t="s">
        <v>373</v>
      </c>
      <c r="C43" s="146" t="s">
        <v>515</v>
      </c>
      <c r="D43" s="146" t="s">
        <v>516</v>
      </c>
      <c r="E43" s="181" t="s">
        <v>200</v>
      </c>
      <c r="F43" s="157" t="s">
        <v>500</v>
      </c>
      <c r="G43" s="158" t="s">
        <v>335</v>
      </c>
      <c r="J43" s="156" t="s">
        <v>188</v>
      </c>
      <c r="K43" s="156" t="s">
        <v>187</v>
      </c>
      <c r="L43" s="303"/>
      <c r="M43" s="303"/>
      <c r="N43" s="303"/>
      <c r="O43" s="303"/>
      <c r="P43" s="182"/>
      <c r="W43" s="139"/>
      <c r="X43" s="139"/>
      <c r="Y43" s="139"/>
      <c r="Z43" s="139"/>
      <c r="AA43" s="139"/>
      <c r="AB43" s="139"/>
      <c r="AC43" s="139"/>
      <c r="AD43" s="139"/>
      <c r="AE43" s="139"/>
      <c r="AF43" s="139"/>
      <c r="AG43" s="139"/>
      <c r="AH43" s="139"/>
      <c r="AI43" s="61">
        <v>37.460295737000003</v>
      </c>
      <c r="AJ43" s="61">
        <v>11.192689793</v>
      </c>
      <c r="AK43" s="61">
        <v>51.347014469999998</v>
      </c>
      <c r="AL43" s="27">
        <v>62.539704262999997</v>
      </c>
      <c r="AS43" s="139"/>
      <c r="AT43" s="139"/>
      <c r="AU43" s="139"/>
      <c r="AV43" s="139"/>
      <c r="AW43" s="139"/>
      <c r="AX43" s="139"/>
      <c r="AY43" s="139"/>
      <c r="AZ43" s="139"/>
      <c r="BA43" s="139"/>
      <c r="BB43" s="139"/>
      <c r="BC43" s="139"/>
      <c r="BD43" s="139"/>
      <c r="BE43" s="59">
        <v>42.650759783000005</v>
      </c>
      <c r="BF43" s="59">
        <v>6.0022257469999998</v>
      </c>
      <c r="BG43" s="59">
        <v>51.347014469999998</v>
      </c>
      <c r="BH43" s="60">
        <v>57.349240216999995</v>
      </c>
      <c r="BI43" s="215" t="s">
        <v>356</v>
      </c>
      <c r="BK43" s="455">
        <v>0</v>
      </c>
      <c r="BL43" s="456">
        <v>5.1904640459999998</v>
      </c>
      <c r="BM43" s="456">
        <v>6.0022257469999998</v>
      </c>
      <c r="BN43" s="456">
        <v>13.84927766</v>
      </c>
      <c r="BO43" s="456">
        <v>37.497736809999999</v>
      </c>
      <c r="BP43" s="165">
        <f t="shared" si="1"/>
        <v>100</v>
      </c>
      <c r="BQ43" s="26">
        <v>0</v>
      </c>
      <c r="BR43" s="77">
        <v>11.13738478</v>
      </c>
      <c r="BS43" s="77">
        <v>8.8490056119999991</v>
      </c>
      <c r="BT43" s="77">
        <v>10.69318324</v>
      </c>
      <c r="BU43" s="68">
        <v>20.14897058</v>
      </c>
      <c r="BV43" s="77">
        <v>0</v>
      </c>
      <c r="BW43" s="77">
        <v>11.437208719999999</v>
      </c>
      <c r="BX43" s="77">
        <v>8.3684690610000008</v>
      </c>
      <c r="BY43" s="77">
        <v>9.9671553260000003</v>
      </c>
      <c r="BZ43" s="77">
        <v>20.325025159999999</v>
      </c>
      <c r="CA43" s="26" t="s">
        <v>220</v>
      </c>
      <c r="CB43" s="77" t="s">
        <v>220</v>
      </c>
      <c r="CC43" s="77" t="s">
        <v>220</v>
      </c>
      <c r="CD43" s="77" t="s">
        <v>220</v>
      </c>
      <c r="CE43" s="68" t="s">
        <v>220</v>
      </c>
    </row>
    <row r="44" spans="1:83" ht="14.4" customHeight="1" x14ac:dyDescent="0.3">
      <c r="A44" s="41" t="s">
        <v>369</v>
      </c>
      <c r="B44" s="41" t="s">
        <v>373</v>
      </c>
      <c r="C44" s="146" t="s">
        <v>479</v>
      </c>
      <c r="D44" s="146" t="s">
        <v>480</v>
      </c>
      <c r="E44" s="181" t="s">
        <v>186</v>
      </c>
      <c r="F44" s="157" t="s">
        <v>728</v>
      </c>
      <c r="G44" s="158" t="s">
        <v>335</v>
      </c>
      <c r="J44" s="156" t="s">
        <v>188</v>
      </c>
      <c r="K44" s="156" t="s">
        <v>188</v>
      </c>
      <c r="L44" s="303"/>
      <c r="M44" s="303"/>
      <c r="N44" s="303"/>
      <c r="O44" s="303"/>
      <c r="P44" s="182"/>
      <c r="W44" s="139"/>
      <c r="X44" s="139"/>
      <c r="Y44" s="139"/>
      <c r="Z44" s="139"/>
      <c r="AA44" s="139"/>
      <c r="AB44" s="139"/>
      <c r="AC44" s="139"/>
      <c r="AD44" s="139"/>
      <c r="AE44" s="139"/>
      <c r="AF44" s="139"/>
      <c r="AG44" s="139"/>
      <c r="AH44" s="139"/>
      <c r="AI44" s="61">
        <v>57.156820546388396</v>
      </c>
      <c r="AJ44" s="61">
        <v>22.121793713247509</v>
      </c>
      <c r="AK44" s="61">
        <v>20.721385740364092</v>
      </c>
      <c r="AL44" s="27">
        <v>42.843179453611597</v>
      </c>
      <c r="AS44" s="139"/>
      <c r="AT44" s="139"/>
      <c r="AU44" s="139"/>
      <c r="AV44" s="139"/>
      <c r="AW44" s="139"/>
      <c r="AX44" s="139"/>
      <c r="AY44" s="139"/>
      <c r="AZ44" s="139"/>
      <c r="BA44" s="139"/>
      <c r="BB44" s="139"/>
      <c r="BC44" s="139"/>
      <c r="BD44" s="139"/>
      <c r="BE44" s="59">
        <v>64.239540250012197</v>
      </c>
      <c r="BF44" s="59">
        <v>15.039074009623709</v>
      </c>
      <c r="BG44" s="59">
        <v>20.721385740364092</v>
      </c>
      <c r="BH44" s="60">
        <v>35.760459749987803</v>
      </c>
      <c r="BI44" s="215" t="s">
        <v>356</v>
      </c>
      <c r="BK44" s="455">
        <v>0.59784106100000001</v>
      </c>
      <c r="BL44" s="456">
        <v>7.0403762969999999</v>
      </c>
      <c r="BM44" s="456">
        <v>14.949164250000001</v>
      </c>
      <c r="BN44" s="456">
        <v>13.229594649999999</v>
      </c>
      <c r="BO44" s="456">
        <v>7.3679101380000001</v>
      </c>
      <c r="BP44" s="165">
        <f t="shared" si="1"/>
        <v>99.402158939000003</v>
      </c>
      <c r="BQ44" s="26">
        <v>1.369153984</v>
      </c>
      <c r="BR44" s="77">
        <v>5.8256103770000003</v>
      </c>
      <c r="BS44" s="77">
        <v>11.75035205</v>
      </c>
      <c r="BT44" s="77">
        <v>10.312217710000001</v>
      </c>
      <c r="BU44" s="68">
        <v>5.7191398969999998</v>
      </c>
      <c r="BV44" s="77">
        <v>2.6804783149999998</v>
      </c>
      <c r="BW44" s="77">
        <v>7.1730908619999996</v>
      </c>
      <c r="BX44" s="77">
        <v>14.95736468</v>
      </c>
      <c r="BY44" s="77">
        <v>12.31081796</v>
      </c>
      <c r="BZ44" s="77">
        <v>5.4692078589999999</v>
      </c>
      <c r="CA44" s="26" t="s">
        <v>220</v>
      </c>
      <c r="CB44" s="77" t="s">
        <v>220</v>
      </c>
      <c r="CC44" s="77" t="s">
        <v>220</v>
      </c>
      <c r="CD44" s="77" t="s">
        <v>220</v>
      </c>
      <c r="CE44" s="68" t="s">
        <v>220</v>
      </c>
    </row>
    <row r="45" spans="1:83" ht="14.4" customHeight="1" x14ac:dyDescent="0.3">
      <c r="A45" s="54" t="s">
        <v>369</v>
      </c>
      <c r="B45" s="54" t="s">
        <v>373</v>
      </c>
      <c r="C45" s="54" t="s">
        <v>477</v>
      </c>
      <c r="D45" s="54" t="s">
        <v>478</v>
      </c>
      <c r="E45" s="181" t="s">
        <v>186</v>
      </c>
      <c r="F45" s="157" t="s">
        <v>728</v>
      </c>
      <c r="G45" s="158" t="s">
        <v>335</v>
      </c>
      <c r="J45" s="156" t="s">
        <v>188</v>
      </c>
      <c r="K45" s="156" t="s">
        <v>188</v>
      </c>
      <c r="L45" s="303"/>
      <c r="M45" s="303"/>
      <c r="N45" s="303"/>
      <c r="O45" s="303"/>
      <c r="P45" s="182"/>
      <c r="W45" s="139"/>
      <c r="X45" s="139"/>
      <c r="Y45" s="139"/>
      <c r="Z45" s="139"/>
      <c r="AA45" s="139"/>
      <c r="AB45" s="139"/>
      <c r="AC45" s="139"/>
      <c r="AD45" s="139"/>
      <c r="AE45" s="139"/>
      <c r="AF45" s="139"/>
      <c r="AG45" s="139"/>
      <c r="AH45" s="139"/>
      <c r="AI45" s="61">
        <v>52.171492361400638</v>
      </c>
      <c r="AJ45" s="61">
        <v>25.268028347953052</v>
      </c>
      <c r="AK45" s="61">
        <v>22.56047929064631</v>
      </c>
      <c r="AL45" s="27">
        <v>47.828507638599362</v>
      </c>
      <c r="AS45" s="139"/>
      <c r="AT45" s="139"/>
      <c r="AU45" s="139"/>
      <c r="AV45" s="139"/>
      <c r="AW45" s="139"/>
      <c r="AX45" s="139"/>
      <c r="AY45" s="139"/>
      <c r="AZ45" s="139"/>
      <c r="BA45" s="139"/>
      <c r="BB45" s="139"/>
      <c r="BC45" s="139"/>
      <c r="BD45" s="139"/>
      <c r="BE45" s="59">
        <v>60.988762678040686</v>
      </c>
      <c r="BF45" s="59">
        <v>16.450758031313004</v>
      </c>
      <c r="BG45" s="59">
        <v>22.56047929064631</v>
      </c>
      <c r="BH45" s="60">
        <v>39.011237321959314</v>
      </c>
      <c r="BI45" s="215" t="s">
        <v>356</v>
      </c>
      <c r="BK45" s="455">
        <v>0.405426128</v>
      </c>
      <c r="BL45" s="456">
        <v>8.7815227989999993</v>
      </c>
      <c r="BM45" s="456">
        <v>16.384062360000001</v>
      </c>
      <c r="BN45" s="456">
        <v>14.851056460000001</v>
      </c>
      <c r="BO45" s="456">
        <v>7.6179567529999996</v>
      </c>
      <c r="BP45" s="165">
        <f t="shared" si="1"/>
        <v>99.594573871999998</v>
      </c>
      <c r="BQ45" s="26">
        <v>0.76686597899999998</v>
      </c>
      <c r="BR45" s="77">
        <v>5.8869072730000003</v>
      </c>
      <c r="BS45" s="77">
        <v>10.50041296</v>
      </c>
      <c r="BT45" s="77">
        <v>9.30213672</v>
      </c>
      <c r="BU45" s="68">
        <v>4.6741844930000003</v>
      </c>
      <c r="BV45" s="77">
        <v>0.40530839299999999</v>
      </c>
      <c r="BW45" s="77">
        <v>8.5137863449999998</v>
      </c>
      <c r="BX45" s="77">
        <v>16.612009459999999</v>
      </c>
      <c r="BY45" s="77">
        <v>11.30503197</v>
      </c>
      <c r="BZ45" s="77">
        <v>2.2409374199999998</v>
      </c>
      <c r="CA45" s="26" t="s">
        <v>220</v>
      </c>
      <c r="CB45" s="77" t="s">
        <v>220</v>
      </c>
      <c r="CC45" s="77" t="s">
        <v>220</v>
      </c>
      <c r="CD45" s="77" t="s">
        <v>220</v>
      </c>
      <c r="CE45" s="68" t="s">
        <v>220</v>
      </c>
    </row>
    <row r="46" spans="1:83" ht="14.4" customHeight="1" x14ac:dyDescent="0.3">
      <c r="A46" s="41" t="s">
        <v>369</v>
      </c>
      <c r="B46" s="41" t="s">
        <v>474</v>
      </c>
      <c r="C46" s="146" t="s">
        <v>475</v>
      </c>
      <c r="D46" s="146" t="s">
        <v>476</v>
      </c>
      <c r="E46" s="183" t="s">
        <v>186</v>
      </c>
      <c r="F46" s="157" t="s">
        <v>728</v>
      </c>
      <c r="G46" s="158" t="s">
        <v>185</v>
      </c>
      <c r="I46" s="156" t="s">
        <v>188</v>
      </c>
      <c r="J46" s="156" t="s">
        <v>188</v>
      </c>
      <c r="K46" s="156" t="s">
        <v>188</v>
      </c>
      <c r="L46" s="303"/>
      <c r="M46" s="303"/>
      <c r="N46" s="303"/>
      <c r="O46" s="303"/>
      <c r="P46" s="182"/>
      <c r="AI46" s="61">
        <v>60.471827432348576</v>
      </c>
      <c r="AJ46" s="61">
        <v>26.82670385927381</v>
      </c>
      <c r="AK46" s="61">
        <v>12.701468708377616</v>
      </c>
      <c r="AL46" s="27">
        <v>39.528172567651424</v>
      </c>
      <c r="BE46" s="59">
        <v>69.864403067673351</v>
      </c>
      <c r="BF46" s="59">
        <v>17.434128223949035</v>
      </c>
      <c r="BG46" s="59">
        <v>12.701468708377616</v>
      </c>
      <c r="BH46" s="60">
        <v>30.135596932326649</v>
      </c>
      <c r="BI46" s="215" t="s">
        <v>356</v>
      </c>
      <c r="BK46" s="455">
        <v>0.19015446899999999</v>
      </c>
      <c r="BL46" s="456">
        <v>9.3747152329999999</v>
      </c>
      <c r="BM46" s="456">
        <v>17.400976450000002</v>
      </c>
      <c r="BN46" s="456">
        <v>11.052439469999999</v>
      </c>
      <c r="BO46" s="456">
        <v>1.6248768280000001</v>
      </c>
      <c r="BP46" s="165">
        <f t="shared" si="1"/>
        <v>99.809845530999993</v>
      </c>
      <c r="BQ46" s="26">
        <v>0.24557652999999999</v>
      </c>
      <c r="BR46" s="77">
        <v>5.024473822</v>
      </c>
      <c r="BS46" s="77">
        <v>9.6716157060000008</v>
      </c>
      <c r="BT46" s="77">
        <v>6.2151745429999998</v>
      </c>
      <c r="BU46" s="68">
        <v>0.90900242899999995</v>
      </c>
      <c r="BV46" s="77">
        <v>0.14275763999999999</v>
      </c>
      <c r="BW46" s="77">
        <v>10.31483937</v>
      </c>
      <c r="BX46" s="77">
        <v>9.7621040059999995</v>
      </c>
      <c r="BY46" s="77">
        <v>4.5867971169999997</v>
      </c>
      <c r="BZ46" s="77">
        <v>0.70492381199999998</v>
      </c>
      <c r="CA46" s="26" t="s">
        <v>220</v>
      </c>
      <c r="CB46" s="77" t="s">
        <v>220</v>
      </c>
      <c r="CC46" s="77" t="s">
        <v>220</v>
      </c>
      <c r="CD46" s="77" t="s">
        <v>220</v>
      </c>
      <c r="CE46" s="68" t="s">
        <v>220</v>
      </c>
    </row>
    <row r="47" spans="1:83" ht="14.4" customHeight="1" x14ac:dyDescent="0.3">
      <c r="A47" s="41" t="s">
        <v>369</v>
      </c>
      <c r="B47" s="41" t="s">
        <v>453</v>
      </c>
      <c r="C47" s="146" t="s">
        <v>513</v>
      </c>
      <c r="D47" s="146" t="s">
        <v>514</v>
      </c>
      <c r="E47" s="181" t="s">
        <v>200</v>
      </c>
      <c r="F47" s="157" t="s">
        <v>500</v>
      </c>
      <c r="G47" s="158" t="s">
        <v>335</v>
      </c>
      <c r="I47" s="156" t="s">
        <v>188</v>
      </c>
      <c r="J47" s="156" t="s">
        <v>188</v>
      </c>
      <c r="K47" s="156" t="s">
        <v>201</v>
      </c>
      <c r="L47" s="303"/>
      <c r="M47" s="303"/>
      <c r="N47" s="303"/>
      <c r="O47" s="303"/>
      <c r="P47" s="182"/>
      <c r="AI47" s="61">
        <v>37.460295737000003</v>
      </c>
      <c r="AJ47" s="61">
        <v>11.192689793</v>
      </c>
      <c r="AK47" s="61">
        <v>51.347014469999998</v>
      </c>
      <c r="AL47" s="27">
        <v>62.539704262999997</v>
      </c>
      <c r="BE47" s="59">
        <v>42.650759783000005</v>
      </c>
      <c r="BF47" s="59">
        <v>6.0022257469999998</v>
      </c>
      <c r="BG47" s="59">
        <v>51.347014469999998</v>
      </c>
      <c r="BH47" s="60">
        <v>57.349240216999995</v>
      </c>
      <c r="BI47" s="215" t="s">
        <v>356</v>
      </c>
      <c r="BK47" s="455">
        <v>0</v>
      </c>
      <c r="BL47" s="456">
        <v>5.1904640459999998</v>
      </c>
      <c r="BM47" s="456">
        <v>6.0022257469999998</v>
      </c>
      <c r="BN47" s="456">
        <v>13.84927766</v>
      </c>
      <c r="BO47" s="456">
        <v>37.497736809999999</v>
      </c>
      <c r="BP47" s="165">
        <f t="shared" si="1"/>
        <v>100</v>
      </c>
      <c r="BQ47" s="26">
        <v>0</v>
      </c>
      <c r="BR47" s="77">
        <v>11.13738478</v>
      </c>
      <c r="BS47" s="77">
        <v>8.8490056119999991</v>
      </c>
      <c r="BT47" s="77">
        <v>10.69318324</v>
      </c>
      <c r="BU47" s="68">
        <v>20.14897058</v>
      </c>
      <c r="BV47" s="77">
        <v>0</v>
      </c>
      <c r="BW47" s="77">
        <v>11.97747603</v>
      </c>
      <c r="BX47" s="77">
        <v>9.7210612239999996</v>
      </c>
      <c r="BY47" s="77">
        <v>11.20429792</v>
      </c>
      <c r="BZ47" s="77">
        <v>21.00693107</v>
      </c>
      <c r="CA47" s="26" t="s">
        <v>220</v>
      </c>
      <c r="CB47" s="77" t="s">
        <v>220</v>
      </c>
      <c r="CC47" s="77" t="s">
        <v>220</v>
      </c>
      <c r="CD47" s="77" t="s">
        <v>220</v>
      </c>
      <c r="CE47" s="68" t="s">
        <v>220</v>
      </c>
    </row>
    <row r="48" spans="1:83" ht="14.4" customHeight="1" x14ac:dyDescent="0.3">
      <c r="A48" s="41" t="s">
        <v>369</v>
      </c>
      <c r="B48" s="41" t="s">
        <v>373</v>
      </c>
      <c r="C48" s="146" t="s">
        <v>472</v>
      </c>
      <c r="D48" s="146" t="s">
        <v>473</v>
      </c>
      <c r="E48" s="181" t="s">
        <v>186</v>
      </c>
      <c r="F48" s="157" t="s">
        <v>728</v>
      </c>
      <c r="G48" s="158" t="s">
        <v>185</v>
      </c>
      <c r="I48" s="156" t="s">
        <v>188</v>
      </c>
      <c r="J48" s="156" t="s">
        <v>188</v>
      </c>
      <c r="K48" s="156" t="s">
        <v>188</v>
      </c>
      <c r="L48" s="303"/>
      <c r="M48" s="303"/>
      <c r="N48" s="303"/>
      <c r="O48" s="303"/>
      <c r="P48" s="182"/>
      <c r="AI48" s="61">
        <v>50.94182403837074</v>
      </c>
      <c r="AJ48" s="61">
        <v>28.815262135201802</v>
      </c>
      <c r="AK48" s="61">
        <v>20.242913826427458</v>
      </c>
      <c r="AL48" s="27">
        <v>49.05817596162926</v>
      </c>
      <c r="BE48" s="59">
        <v>60.354667585701193</v>
      </c>
      <c r="BF48" s="59">
        <v>19.402418587871345</v>
      </c>
      <c r="BG48" s="59">
        <v>20.242913826427458</v>
      </c>
      <c r="BH48" s="60">
        <v>39.645332414298807</v>
      </c>
      <c r="BI48" s="215" t="s">
        <v>356</v>
      </c>
      <c r="BK48" s="455">
        <v>0.41015467999999999</v>
      </c>
      <c r="BL48" s="456">
        <v>9.3742363290000004</v>
      </c>
      <c r="BM48" s="456">
        <v>19.322838659999999</v>
      </c>
      <c r="BN48" s="456">
        <v>14.744520489999999</v>
      </c>
      <c r="BO48" s="456">
        <v>5.4153660779999999</v>
      </c>
      <c r="BP48" s="165">
        <f t="shared" si="1"/>
        <v>99.589845319999995</v>
      </c>
      <c r="BQ48" s="26">
        <v>0.70448028600000001</v>
      </c>
      <c r="BR48" s="77">
        <v>6.1663022490000001</v>
      </c>
      <c r="BS48" s="77">
        <v>12.525058140000001</v>
      </c>
      <c r="BT48" s="77">
        <v>9.4077623530000007</v>
      </c>
      <c r="BU48" s="68">
        <v>3.2850343020000001</v>
      </c>
      <c r="BV48" s="77">
        <v>0.90215244500000003</v>
      </c>
      <c r="BW48" s="77">
        <v>7.4852248929999998</v>
      </c>
      <c r="BX48" s="77">
        <v>14.084178980000001</v>
      </c>
      <c r="BY48" s="77">
        <v>8.9842003150000007</v>
      </c>
      <c r="BZ48" s="77">
        <v>2.3263324170000002</v>
      </c>
      <c r="CA48" s="26" t="s">
        <v>220</v>
      </c>
      <c r="CB48" s="77" t="s">
        <v>220</v>
      </c>
      <c r="CC48" s="77" t="s">
        <v>220</v>
      </c>
      <c r="CD48" s="77" t="s">
        <v>220</v>
      </c>
      <c r="CE48" s="68" t="s">
        <v>220</v>
      </c>
    </row>
    <row r="49" spans="1:83" ht="14.4" customHeight="1" x14ac:dyDescent="0.3">
      <c r="A49" s="41" t="s">
        <v>369</v>
      </c>
      <c r="B49" s="41" t="s">
        <v>373</v>
      </c>
      <c r="C49" s="146" t="s">
        <v>437</v>
      </c>
      <c r="D49" s="146" t="s">
        <v>438</v>
      </c>
      <c r="E49" s="183" t="s">
        <v>186</v>
      </c>
      <c r="F49" s="157" t="s">
        <v>402</v>
      </c>
      <c r="G49" s="158" t="s">
        <v>335</v>
      </c>
      <c r="J49" s="156" t="s">
        <v>188</v>
      </c>
      <c r="K49" s="156" t="s">
        <v>188</v>
      </c>
      <c r="L49" s="303"/>
      <c r="M49" s="303"/>
      <c r="N49" s="303"/>
      <c r="O49" s="303"/>
      <c r="P49" s="182"/>
      <c r="AI49" s="61">
        <v>76.158793315007586</v>
      </c>
      <c r="AJ49" s="61">
        <v>14.305649635910392</v>
      </c>
      <c r="AK49" s="61">
        <v>9.5355570490820369</v>
      </c>
      <c r="AL49" s="27">
        <v>23.841206684992429</v>
      </c>
      <c r="BE49" s="59">
        <v>80.910480688604935</v>
      </c>
      <c r="BF49" s="59">
        <v>9.5539622623130214</v>
      </c>
      <c r="BG49" s="59">
        <v>9.5355570490820369</v>
      </c>
      <c r="BH49" s="60">
        <v>19.089519311395058</v>
      </c>
      <c r="BI49" s="215" t="s">
        <v>356</v>
      </c>
      <c r="BK49" s="455">
        <v>0.19953167899999999</v>
      </c>
      <c r="BL49" s="456">
        <v>4.7422062519999999</v>
      </c>
      <c r="BM49" s="456">
        <v>9.5348990810000007</v>
      </c>
      <c r="BN49" s="456">
        <v>6.8926863489999999</v>
      </c>
      <c r="BO49" s="456">
        <v>2.6238442430000002</v>
      </c>
      <c r="BP49" s="165">
        <f t="shared" si="1"/>
        <v>99.800468320999997</v>
      </c>
      <c r="BQ49" s="26">
        <v>0.304578825</v>
      </c>
      <c r="BR49" s="77">
        <v>2.707262557</v>
      </c>
      <c r="BS49" s="77">
        <v>5.3358920899999998</v>
      </c>
      <c r="BT49" s="77">
        <v>3.8026834940000001</v>
      </c>
      <c r="BU49" s="68">
        <v>1.376596425</v>
      </c>
      <c r="BV49" s="77">
        <v>0.400638514</v>
      </c>
      <c r="BW49" s="77">
        <v>5.5293552210000003</v>
      </c>
      <c r="BX49" s="77">
        <v>9.7556668220000002</v>
      </c>
      <c r="BY49" s="77">
        <v>6.5493242790000004</v>
      </c>
      <c r="BZ49" s="77">
        <v>2.079701241</v>
      </c>
      <c r="CA49" s="26" t="s">
        <v>220</v>
      </c>
      <c r="CB49" s="77" t="s">
        <v>220</v>
      </c>
      <c r="CC49" s="77" t="s">
        <v>220</v>
      </c>
      <c r="CD49" s="77" t="s">
        <v>220</v>
      </c>
      <c r="CE49" s="68" t="s">
        <v>220</v>
      </c>
    </row>
    <row r="50" spans="1:83" ht="14.4" customHeight="1" x14ac:dyDescent="0.3">
      <c r="A50" s="41" t="s">
        <v>369</v>
      </c>
      <c r="B50" s="41" t="s">
        <v>373</v>
      </c>
      <c r="C50" s="146" t="s">
        <v>511</v>
      </c>
      <c r="D50" s="146" t="s">
        <v>512</v>
      </c>
      <c r="E50" s="181" t="s">
        <v>200</v>
      </c>
      <c r="F50" s="157" t="s">
        <v>500</v>
      </c>
      <c r="G50" s="158" t="s">
        <v>335</v>
      </c>
      <c r="J50" s="156" t="s">
        <v>188</v>
      </c>
      <c r="K50" s="156" t="s">
        <v>201</v>
      </c>
      <c r="L50" s="303"/>
      <c r="M50" s="303"/>
      <c r="N50" s="303"/>
      <c r="O50" s="303"/>
      <c r="P50" s="182"/>
      <c r="AI50" s="61">
        <v>37.460295737000003</v>
      </c>
      <c r="AJ50" s="61">
        <v>11.192689793</v>
      </c>
      <c r="AK50" s="61">
        <v>51.347014469999998</v>
      </c>
      <c r="AL50" s="27">
        <v>62.539704262999997</v>
      </c>
      <c r="BE50" s="59">
        <v>42.650759783000005</v>
      </c>
      <c r="BF50" s="59">
        <v>6.0022257469999998</v>
      </c>
      <c r="BG50" s="59">
        <v>51.347014469999998</v>
      </c>
      <c r="BH50" s="60">
        <v>57.349240216999995</v>
      </c>
      <c r="BI50" s="215" t="s">
        <v>356</v>
      </c>
      <c r="BK50" s="455">
        <v>0</v>
      </c>
      <c r="BL50" s="456">
        <v>5.1904640459999998</v>
      </c>
      <c r="BM50" s="456">
        <v>6.0022257469999998</v>
      </c>
      <c r="BN50" s="456">
        <v>13.84927766</v>
      </c>
      <c r="BO50" s="456">
        <v>37.497736809999999</v>
      </c>
      <c r="BP50" s="165">
        <f t="shared" si="1"/>
        <v>100</v>
      </c>
      <c r="BQ50" s="26">
        <v>0</v>
      </c>
      <c r="BR50" s="77">
        <v>11.13738478</v>
      </c>
      <c r="BS50" s="77">
        <v>8.8490056119999991</v>
      </c>
      <c r="BT50" s="77">
        <v>10.69318324</v>
      </c>
      <c r="BU50" s="68">
        <v>20.14897058</v>
      </c>
      <c r="BV50" s="77" t="s">
        <v>220</v>
      </c>
      <c r="BW50" s="77">
        <v>12.25786946</v>
      </c>
      <c r="BX50" s="77">
        <v>9.6171635129999995</v>
      </c>
      <c r="BY50" s="77">
        <v>11.246050820000001</v>
      </c>
      <c r="BZ50" s="77">
        <v>21.889968639999999</v>
      </c>
      <c r="CA50" s="26" t="s">
        <v>220</v>
      </c>
      <c r="CB50" s="77" t="s">
        <v>220</v>
      </c>
      <c r="CC50" s="77" t="s">
        <v>220</v>
      </c>
      <c r="CD50" s="77" t="s">
        <v>220</v>
      </c>
      <c r="CE50" s="68" t="s">
        <v>220</v>
      </c>
    </row>
    <row r="51" spans="1:83" ht="14.4" customHeight="1" x14ac:dyDescent="0.3">
      <c r="A51" s="298" t="s">
        <v>369</v>
      </c>
      <c r="B51" s="298" t="s">
        <v>379</v>
      </c>
      <c r="C51" s="298" t="s">
        <v>380</v>
      </c>
      <c r="D51" s="298" t="s">
        <v>412</v>
      </c>
      <c r="E51" s="183" t="s">
        <v>186</v>
      </c>
      <c r="F51" s="157" t="s">
        <v>402</v>
      </c>
      <c r="G51" s="158" t="s">
        <v>185</v>
      </c>
      <c r="H51" s="136" t="s">
        <v>383</v>
      </c>
      <c r="J51" s="156" t="s">
        <v>188</v>
      </c>
      <c r="K51" s="159" t="s">
        <v>188</v>
      </c>
      <c r="L51" s="302"/>
      <c r="M51" s="302"/>
      <c r="N51" s="302"/>
      <c r="O51" s="302"/>
      <c r="P51" s="182"/>
      <c r="Q51" s="179"/>
      <c r="R51" s="145"/>
      <c r="S51" s="145"/>
      <c r="T51" s="145"/>
      <c r="U51" s="145"/>
      <c r="V51" s="145"/>
      <c r="W51" s="139"/>
      <c r="X51" s="139"/>
      <c r="Y51" s="139"/>
      <c r="Z51" s="139"/>
      <c r="AA51" s="139"/>
      <c r="AB51" s="139"/>
      <c r="AC51" s="139"/>
      <c r="AD51" s="139"/>
      <c r="AE51" s="139"/>
      <c r="AF51" s="139"/>
      <c r="AG51" s="139"/>
      <c r="AH51" s="139"/>
      <c r="AI51" s="61">
        <v>81.38132101995501</v>
      </c>
      <c r="AJ51" s="61">
        <v>11.020733964282742</v>
      </c>
      <c r="AK51" s="61">
        <v>7.5979450157622512</v>
      </c>
      <c r="AL51" s="27">
        <v>18.618678980044994</v>
      </c>
      <c r="AM51" s="145"/>
      <c r="AN51" s="145"/>
      <c r="AO51" s="145"/>
      <c r="AP51" s="145"/>
      <c r="AQ51" s="145"/>
      <c r="AR51" s="145"/>
      <c r="AS51" s="139"/>
      <c r="AT51" s="139"/>
      <c r="AU51" s="139"/>
      <c r="AV51" s="139"/>
      <c r="AW51" s="139"/>
      <c r="AX51" s="139"/>
      <c r="AY51" s="139"/>
      <c r="AZ51" s="139"/>
      <c r="BA51" s="139"/>
      <c r="BB51" s="139"/>
      <c r="BC51" s="139"/>
      <c r="BD51" s="139"/>
      <c r="BE51" s="59">
        <v>84.963714436061821</v>
      </c>
      <c r="BF51" s="59">
        <v>7.438340548175927</v>
      </c>
      <c r="BG51" s="59">
        <v>7.5979450157622512</v>
      </c>
      <c r="BH51" s="60">
        <v>15.036285563938179</v>
      </c>
      <c r="BI51" s="215" t="s">
        <v>356</v>
      </c>
      <c r="BK51" s="455">
        <v>0.15765384900000001</v>
      </c>
      <c r="BL51" s="456">
        <v>3.576745635</v>
      </c>
      <c r="BM51" s="456">
        <v>7.4266137179999996</v>
      </c>
      <c r="BN51" s="456">
        <v>5.5263256609999996</v>
      </c>
      <c r="BO51" s="456">
        <v>2.0596409019999999</v>
      </c>
      <c r="BP51" s="165">
        <f t="shared" si="1"/>
        <v>99.842346151000001</v>
      </c>
      <c r="BQ51" s="26">
        <v>0.29355040599999999</v>
      </c>
      <c r="BR51" s="77">
        <v>2.5127300359999998</v>
      </c>
      <c r="BS51" s="77">
        <v>5.1022906910000003</v>
      </c>
      <c r="BT51" s="77">
        <v>3.7366105329999999</v>
      </c>
      <c r="BU51" s="68">
        <v>1.323047759</v>
      </c>
      <c r="BV51" s="77">
        <v>0.52003219599999995</v>
      </c>
      <c r="BW51" s="77">
        <v>5.9436538729999997</v>
      </c>
      <c r="BX51" s="77">
        <v>11.28694039</v>
      </c>
      <c r="BY51" s="77">
        <v>7.9770771050000002</v>
      </c>
      <c r="BZ51" s="77">
        <v>2.9528183729999999</v>
      </c>
      <c r="CA51" s="26" t="s">
        <v>220</v>
      </c>
      <c r="CB51" s="77" t="s">
        <v>220</v>
      </c>
      <c r="CC51" s="77" t="s">
        <v>220</v>
      </c>
      <c r="CD51" s="77" t="s">
        <v>220</v>
      </c>
      <c r="CE51" s="68" t="s">
        <v>220</v>
      </c>
    </row>
    <row r="52" spans="1:83" ht="14.4" customHeight="1" x14ac:dyDescent="0.3">
      <c r="A52" s="41" t="s">
        <v>369</v>
      </c>
      <c r="B52" s="41" t="s">
        <v>379</v>
      </c>
      <c r="C52" s="146" t="s">
        <v>409</v>
      </c>
      <c r="D52" s="146" t="s">
        <v>411</v>
      </c>
      <c r="E52" s="183" t="s">
        <v>186</v>
      </c>
      <c r="F52" s="157" t="s">
        <v>402</v>
      </c>
      <c r="G52" s="158" t="s">
        <v>185</v>
      </c>
      <c r="H52" s="136" t="s">
        <v>383</v>
      </c>
      <c r="I52" s="156" t="s">
        <v>188</v>
      </c>
      <c r="J52" s="156" t="s">
        <v>188</v>
      </c>
      <c r="K52" s="159" t="s">
        <v>188</v>
      </c>
      <c r="L52" s="302"/>
      <c r="M52" s="302"/>
      <c r="N52" s="302"/>
      <c r="O52" s="302"/>
      <c r="P52" s="182"/>
      <c r="Q52" s="179"/>
      <c r="R52" s="145"/>
      <c r="S52" s="145"/>
      <c r="T52" s="145"/>
      <c r="U52" s="145"/>
      <c r="V52" s="145"/>
      <c r="W52" s="139"/>
      <c r="X52" s="139"/>
      <c r="Y52" s="139"/>
      <c r="Z52" s="139"/>
      <c r="AA52" s="139"/>
      <c r="AB52" s="139"/>
      <c r="AC52" s="139"/>
      <c r="AD52" s="139"/>
      <c r="AE52" s="139"/>
      <c r="AF52" s="139"/>
      <c r="AG52" s="139"/>
      <c r="AH52" s="139"/>
      <c r="AI52" s="61">
        <v>72.12175968882508</v>
      </c>
      <c r="AJ52" s="61">
        <v>16.337623555769074</v>
      </c>
      <c r="AK52" s="61">
        <v>11.540616755405846</v>
      </c>
      <c r="AL52" s="27">
        <v>27.87824031117492</v>
      </c>
      <c r="AM52" s="145"/>
      <c r="AN52" s="145"/>
      <c r="AO52" s="145"/>
      <c r="AP52" s="145"/>
      <c r="AQ52" s="145"/>
      <c r="AR52" s="145"/>
      <c r="AS52" s="139"/>
      <c r="AT52" s="139"/>
      <c r="AU52" s="139"/>
      <c r="AV52" s="139"/>
      <c r="AW52" s="139"/>
      <c r="AX52" s="139"/>
      <c r="AY52" s="139"/>
      <c r="AZ52" s="139"/>
      <c r="BA52" s="139"/>
      <c r="BB52" s="139"/>
      <c r="BC52" s="139"/>
      <c r="BD52" s="139"/>
      <c r="BE52" s="59">
        <v>77.792565122449332</v>
      </c>
      <c r="BF52" s="59">
        <v>10.666818122144822</v>
      </c>
      <c r="BG52" s="59">
        <v>11.540616755405846</v>
      </c>
      <c r="BH52" s="60">
        <v>22.207434877550668</v>
      </c>
      <c r="BI52" s="215" t="s">
        <v>356</v>
      </c>
      <c r="BK52" s="455">
        <v>0.33371181300000002</v>
      </c>
      <c r="BL52" s="456">
        <v>5.6518812860000001</v>
      </c>
      <c r="BM52" s="456">
        <v>10.63122169</v>
      </c>
      <c r="BN52" s="456">
        <v>8.2120109669999994</v>
      </c>
      <c r="BO52" s="456">
        <v>3.2900933870000002</v>
      </c>
      <c r="BP52" s="165">
        <f t="shared" si="1"/>
        <v>99.666288187000006</v>
      </c>
      <c r="BQ52" s="26">
        <v>0.69622673000000002</v>
      </c>
      <c r="BR52" s="77">
        <v>3.481203662</v>
      </c>
      <c r="BS52" s="77">
        <v>6.2887720360000001</v>
      </c>
      <c r="BT52" s="77">
        <v>4.758935728</v>
      </c>
      <c r="BU52" s="68">
        <v>1.8190317840000001</v>
      </c>
      <c r="BV52" s="77">
        <v>0.84254612299999998</v>
      </c>
      <c r="BW52" s="77">
        <v>3.9686316850000001</v>
      </c>
      <c r="BX52" s="77">
        <v>6.7675527689999999</v>
      </c>
      <c r="BY52" s="77">
        <v>5.1832163219999998</v>
      </c>
      <c r="BZ52" s="77">
        <v>2.1182669879999998</v>
      </c>
      <c r="CA52" s="26" t="s">
        <v>220</v>
      </c>
      <c r="CB52" s="77" t="s">
        <v>220</v>
      </c>
      <c r="CC52" s="77" t="s">
        <v>220</v>
      </c>
      <c r="CD52" s="77" t="s">
        <v>220</v>
      </c>
      <c r="CE52" s="68" t="s">
        <v>220</v>
      </c>
    </row>
    <row r="53" spans="1:83" ht="14.4" customHeight="1" x14ac:dyDescent="0.3">
      <c r="A53" s="298" t="s">
        <v>369</v>
      </c>
      <c r="B53" s="298" t="s">
        <v>379</v>
      </c>
      <c r="C53" s="298" t="s">
        <v>409</v>
      </c>
      <c r="D53" s="298" t="s">
        <v>410</v>
      </c>
      <c r="E53" s="183" t="s">
        <v>186</v>
      </c>
      <c r="F53" s="157" t="s">
        <v>402</v>
      </c>
      <c r="G53" s="158" t="s">
        <v>185</v>
      </c>
      <c r="H53" s="136" t="s">
        <v>383</v>
      </c>
      <c r="J53" s="156" t="s">
        <v>188</v>
      </c>
      <c r="K53" s="159" t="s">
        <v>188</v>
      </c>
      <c r="L53" s="302"/>
      <c r="M53" s="302"/>
      <c r="N53" s="302"/>
      <c r="O53" s="302"/>
      <c r="P53" s="182"/>
      <c r="Q53" s="179"/>
      <c r="R53" s="145"/>
      <c r="S53" s="145"/>
      <c r="T53" s="145"/>
      <c r="U53" s="145"/>
      <c r="V53" s="145"/>
      <c r="W53" s="139"/>
      <c r="X53" s="139"/>
      <c r="Y53" s="139"/>
      <c r="Z53" s="139"/>
      <c r="AA53" s="139"/>
      <c r="AB53" s="139"/>
      <c r="AC53" s="139"/>
      <c r="AD53" s="139"/>
      <c r="AE53" s="139"/>
      <c r="AF53" s="139"/>
      <c r="AG53" s="139"/>
      <c r="AH53" s="139"/>
      <c r="AI53" s="61">
        <v>74.673070367848013</v>
      </c>
      <c r="AJ53" s="61">
        <v>14.809823960946749</v>
      </c>
      <c r="AK53" s="61">
        <v>10.517105671205245</v>
      </c>
      <c r="AL53" s="27">
        <v>25.326929632151995</v>
      </c>
      <c r="AM53" s="145"/>
      <c r="AN53" s="145"/>
      <c r="AO53" s="145"/>
      <c r="AP53" s="145"/>
      <c r="AQ53" s="145"/>
      <c r="AR53" s="145"/>
      <c r="AS53" s="139"/>
      <c r="AT53" s="139"/>
      <c r="AU53" s="139"/>
      <c r="AV53" s="139"/>
      <c r="AW53" s="139"/>
      <c r="AX53" s="139"/>
      <c r="AY53" s="139"/>
      <c r="AZ53" s="139"/>
      <c r="BA53" s="139"/>
      <c r="BB53" s="139"/>
      <c r="BC53" s="139"/>
      <c r="BD53" s="139"/>
      <c r="BE53" s="59">
        <v>80.04068867946981</v>
      </c>
      <c r="BF53" s="59">
        <v>9.4422056493249418</v>
      </c>
      <c r="BG53" s="59">
        <v>10.517105671205245</v>
      </c>
      <c r="BH53" s="60">
        <v>19.959311320530187</v>
      </c>
      <c r="BI53" s="215" t="s">
        <v>356</v>
      </c>
      <c r="BK53" s="455">
        <v>0.34386043399999999</v>
      </c>
      <c r="BL53" s="456">
        <v>5.3491611959999998</v>
      </c>
      <c r="BM53" s="456">
        <v>9.4097376399999995</v>
      </c>
      <c r="BN53" s="456">
        <v>7.3545992949999999</v>
      </c>
      <c r="BO53" s="456">
        <v>3.1263422109999999</v>
      </c>
      <c r="BP53" s="165">
        <f t="shared" si="1"/>
        <v>99.656139565999993</v>
      </c>
      <c r="BQ53" s="26">
        <v>0.45542169700000001</v>
      </c>
      <c r="BR53" s="77">
        <v>2.292841331</v>
      </c>
      <c r="BS53" s="77">
        <v>4.12013549</v>
      </c>
      <c r="BT53" s="77">
        <v>3.0692605230000001</v>
      </c>
      <c r="BU53" s="68">
        <v>1.1686706920000001</v>
      </c>
      <c r="BV53" s="77">
        <v>0.74434728800000005</v>
      </c>
      <c r="BW53" s="77">
        <v>3.5365294029999998</v>
      </c>
      <c r="BX53" s="77">
        <v>5.9669430779999999</v>
      </c>
      <c r="BY53" s="77">
        <v>4.5557378010000003</v>
      </c>
      <c r="BZ53" s="77">
        <v>1.8621767979999999</v>
      </c>
      <c r="CA53" s="26" t="s">
        <v>220</v>
      </c>
      <c r="CB53" s="77" t="s">
        <v>220</v>
      </c>
      <c r="CC53" s="77" t="s">
        <v>220</v>
      </c>
      <c r="CD53" s="77" t="s">
        <v>220</v>
      </c>
      <c r="CE53" s="68" t="s">
        <v>220</v>
      </c>
    </row>
    <row r="54" spans="1:83" ht="14.4" customHeight="1" x14ac:dyDescent="0.3">
      <c r="A54" s="41" t="s">
        <v>369</v>
      </c>
      <c r="B54" s="41" t="s">
        <v>379</v>
      </c>
      <c r="C54" s="146" t="s">
        <v>435</v>
      </c>
      <c r="D54" s="146" t="s">
        <v>436</v>
      </c>
      <c r="E54" s="183" t="s">
        <v>186</v>
      </c>
      <c r="F54" s="157" t="s">
        <v>402</v>
      </c>
      <c r="G54" s="158" t="s">
        <v>335</v>
      </c>
      <c r="J54" s="156" t="s">
        <v>188</v>
      </c>
      <c r="K54" s="159" t="s">
        <v>188</v>
      </c>
      <c r="L54" s="302"/>
      <c r="M54" s="302"/>
      <c r="N54" s="302"/>
      <c r="O54" s="302"/>
      <c r="P54" s="182"/>
      <c r="AI54" s="61">
        <v>71.515819630399577</v>
      </c>
      <c r="AJ54" s="61">
        <v>16.624946993520236</v>
      </c>
      <c r="AK54" s="61">
        <v>11.859233376080178</v>
      </c>
      <c r="AL54" s="27">
        <v>28.484180369600416</v>
      </c>
      <c r="BE54" s="59">
        <v>77.282727251358182</v>
      </c>
      <c r="BF54" s="59">
        <v>10.858039372561638</v>
      </c>
      <c r="BG54" s="59">
        <v>11.859233376080178</v>
      </c>
      <c r="BH54" s="60">
        <v>22.717272748641818</v>
      </c>
      <c r="BI54" s="215" t="s">
        <v>356</v>
      </c>
      <c r="BK54" s="455">
        <v>0.34419568099999998</v>
      </c>
      <c r="BL54" s="456">
        <v>5.7470581740000002</v>
      </c>
      <c r="BM54" s="456">
        <v>10.820666470000001</v>
      </c>
      <c r="BN54" s="456">
        <v>8.4307494999999992</v>
      </c>
      <c r="BO54" s="456">
        <v>3.387664907</v>
      </c>
      <c r="BP54" s="165">
        <f t="shared" si="1"/>
        <v>99.655804318999998</v>
      </c>
      <c r="BQ54" s="26">
        <v>0.65619944900000005</v>
      </c>
      <c r="BR54" s="77">
        <v>3.1570594500000002</v>
      </c>
      <c r="BS54" s="77">
        <v>5.6862593539999997</v>
      </c>
      <c r="BT54" s="77">
        <v>4.3416764880000001</v>
      </c>
      <c r="BU54" s="68">
        <v>1.6679004079999999</v>
      </c>
      <c r="BV54" s="77">
        <v>0.62707720199999994</v>
      </c>
      <c r="BW54" s="77">
        <v>4.8614252120000003</v>
      </c>
      <c r="BX54" s="77">
        <v>9.4093058579999997</v>
      </c>
      <c r="BY54" s="77">
        <v>6.9575518049999996</v>
      </c>
      <c r="BZ54" s="77">
        <v>1.8397127470000001</v>
      </c>
      <c r="CA54" s="26" t="s">
        <v>220</v>
      </c>
      <c r="CB54" s="77" t="s">
        <v>220</v>
      </c>
      <c r="CC54" s="77" t="s">
        <v>220</v>
      </c>
      <c r="CD54" s="77" t="s">
        <v>220</v>
      </c>
      <c r="CE54" s="68" t="s">
        <v>220</v>
      </c>
    </row>
    <row r="55" spans="1:83" ht="14.4" customHeight="1" x14ac:dyDescent="0.3">
      <c r="A55" s="41" t="s">
        <v>369</v>
      </c>
      <c r="B55" s="41" t="s">
        <v>373</v>
      </c>
      <c r="C55" s="146" t="s">
        <v>509</v>
      </c>
      <c r="D55" s="146" t="s">
        <v>510</v>
      </c>
      <c r="E55" s="181" t="s">
        <v>200</v>
      </c>
      <c r="F55" s="157" t="s">
        <v>500</v>
      </c>
      <c r="G55" s="158" t="s">
        <v>335</v>
      </c>
      <c r="J55" s="156" t="s">
        <v>188</v>
      </c>
      <c r="K55" s="156" t="s">
        <v>201</v>
      </c>
      <c r="L55" s="303"/>
      <c r="M55" s="303"/>
      <c r="N55" s="303"/>
      <c r="O55" s="303"/>
      <c r="P55" s="182"/>
      <c r="AI55" s="61">
        <v>37.460295737000003</v>
      </c>
      <c r="AJ55" s="61">
        <v>11.192689793</v>
      </c>
      <c r="AK55" s="61">
        <v>51.347014469999998</v>
      </c>
      <c r="AL55" s="27">
        <v>62.539704262999997</v>
      </c>
      <c r="BE55" s="59">
        <v>42.650759783000005</v>
      </c>
      <c r="BF55" s="59">
        <v>6.0022257469999998</v>
      </c>
      <c r="BG55" s="59">
        <v>51.347014469999998</v>
      </c>
      <c r="BH55" s="60">
        <v>57.349240216999995</v>
      </c>
      <c r="BI55" s="215" t="s">
        <v>356</v>
      </c>
      <c r="BK55" s="455">
        <v>0</v>
      </c>
      <c r="BL55" s="456">
        <v>5.1904640459999998</v>
      </c>
      <c r="BM55" s="456">
        <v>6.0022257469999998</v>
      </c>
      <c r="BN55" s="456">
        <v>13.84927766</v>
      </c>
      <c r="BO55" s="456">
        <v>37.497736809999999</v>
      </c>
      <c r="BP55" s="165">
        <f t="shared" si="1"/>
        <v>100</v>
      </c>
      <c r="BQ55" s="26">
        <v>0</v>
      </c>
      <c r="BR55" s="77">
        <v>11.13738478</v>
      </c>
      <c r="BS55" s="77">
        <v>8.8490056119999991</v>
      </c>
      <c r="BT55" s="77">
        <v>10.69318324</v>
      </c>
      <c r="BU55" s="68">
        <v>20.14897058</v>
      </c>
      <c r="BV55" s="77">
        <v>0</v>
      </c>
      <c r="BW55" s="77">
        <v>14.535486130000001</v>
      </c>
      <c r="BX55" s="77">
        <v>11.41438117</v>
      </c>
      <c r="BY55" s="77">
        <v>12.645293949999999</v>
      </c>
      <c r="BZ55" s="77">
        <v>21.226256240000001</v>
      </c>
      <c r="CA55" s="26" t="s">
        <v>220</v>
      </c>
      <c r="CB55" s="77" t="s">
        <v>220</v>
      </c>
      <c r="CC55" s="77" t="s">
        <v>220</v>
      </c>
      <c r="CD55" s="77" t="s">
        <v>220</v>
      </c>
      <c r="CE55" s="68" t="s">
        <v>220</v>
      </c>
    </row>
    <row r="56" spans="1:83" ht="14.4" customHeight="1" x14ac:dyDescent="0.3">
      <c r="A56" s="86" t="s">
        <v>369</v>
      </c>
      <c r="B56" s="86" t="s">
        <v>469</v>
      </c>
      <c r="C56" s="147" t="s">
        <v>470</v>
      </c>
      <c r="D56" s="147" t="s">
        <v>471</v>
      </c>
      <c r="E56" s="183" t="s">
        <v>186</v>
      </c>
      <c r="F56" s="157" t="s">
        <v>728</v>
      </c>
      <c r="G56" s="158" t="s">
        <v>185</v>
      </c>
      <c r="I56" s="159" t="s">
        <v>188</v>
      </c>
      <c r="J56" s="159" t="s">
        <v>188</v>
      </c>
      <c r="K56" s="159" t="s">
        <v>188</v>
      </c>
      <c r="L56" s="302"/>
      <c r="M56" s="302"/>
      <c r="N56" s="302"/>
      <c r="O56" s="302"/>
      <c r="P56" s="182"/>
      <c r="Q56" s="69"/>
      <c r="R56" s="86"/>
      <c r="S56" s="86"/>
      <c r="T56" s="86"/>
      <c r="U56" s="86"/>
      <c r="V56" s="86"/>
      <c r="AI56" s="61">
        <v>67.87570253407938</v>
      </c>
      <c r="AJ56" s="61">
        <v>18.66602076881555</v>
      </c>
      <c r="AK56" s="61">
        <v>13.458276697105076</v>
      </c>
      <c r="AL56" s="27">
        <v>32.124297465920627</v>
      </c>
      <c r="AM56" s="86"/>
      <c r="AN56" s="86"/>
      <c r="AO56" s="86"/>
      <c r="AP56" s="86"/>
      <c r="AQ56" s="86"/>
      <c r="AR56" s="86"/>
      <c r="BE56" s="59">
        <v>74.391779309154714</v>
      </c>
      <c r="BF56" s="59">
        <v>12.149943993740209</v>
      </c>
      <c r="BG56" s="59">
        <v>13.458276697105076</v>
      </c>
      <c r="BH56" s="60">
        <v>25.608220690845286</v>
      </c>
      <c r="BI56" s="215" t="s">
        <v>356</v>
      </c>
      <c r="BK56" s="455">
        <v>0.369100333</v>
      </c>
      <c r="BL56" s="456">
        <v>6.4920259140000001</v>
      </c>
      <c r="BM56" s="456">
        <v>12.105098509999999</v>
      </c>
      <c r="BN56" s="456">
        <v>9.5575556099999996</v>
      </c>
      <c r="BO56" s="456">
        <v>3.8510465429999998</v>
      </c>
      <c r="BP56" s="165">
        <f t="shared" si="1"/>
        <v>99.630899666999994</v>
      </c>
      <c r="BQ56" s="26">
        <v>0.68761435599999998</v>
      </c>
      <c r="BR56" s="77">
        <v>3.7542648779999999</v>
      </c>
      <c r="BS56" s="77">
        <v>6.7875275999999998</v>
      </c>
      <c r="BT56" s="77">
        <v>5.2438032750000003</v>
      </c>
      <c r="BU56" s="68">
        <v>2.0156269579999999</v>
      </c>
      <c r="BV56" s="77">
        <v>0.805262166</v>
      </c>
      <c r="BW56" s="77">
        <v>5.8740068440000002</v>
      </c>
      <c r="BX56" s="77">
        <v>11.303161899999999</v>
      </c>
      <c r="BY56" s="77">
        <v>8.3637756200000002</v>
      </c>
      <c r="BZ56" s="77">
        <v>2.7978047419999998</v>
      </c>
      <c r="CA56" s="26" t="s">
        <v>220</v>
      </c>
      <c r="CB56" s="77" t="s">
        <v>220</v>
      </c>
      <c r="CC56" s="77" t="s">
        <v>220</v>
      </c>
      <c r="CD56" s="77" t="s">
        <v>220</v>
      </c>
      <c r="CE56" s="68" t="s">
        <v>220</v>
      </c>
    </row>
    <row r="57" spans="1:83" ht="14.4" customHeight="1" x14ac:dyDescent="0.3">
      <c r="A57" s="41" t="s">
        <v>369</v>
      </c>
      <c r="B57" s="41" t="s">
        <v>466</v>
      </c>
      <c r="C57" s="146" t="s">
        <v>467</v>
      </c>
      <c r="D57" s="146" t="s">
        <v>468</v>
      </c>
      <c r="E57" s="181" t="s">
        <v>186</v>
      </c>
      <c r="F57" s="157" t="s">
        <v>728</v>
      </c>
      <c r="G57" s="158" t="s">
        <v>185</v>
      </c>
      <c r="I57" s="156" t="s">
        <v>188</v>
      </c>
      <c r="J57" s="156" t="s">
        <v>188</v>
      </c>
      <c r="K57" s="159" t="s">
        <v>188</v>
      </c>
      <c r="L57" s="302"/>
      <c r="M57" s="302"/>
      <c r="N57" s="302"/>
      <c r="O57" s="302"/>
      <c r="P57" s="182"/>
      <c r="AI57" s="61">
        <v>59.127997742947166</v>
      </c>
      <c r="AJ57" s="61">
        <v>27.915005256602583</v>
      </c>
      <c r="AK57" s="61">
        <v>12.956997000450249</v>
      </c>
      <c r="AL57" s="27">
        <v>40.872002257052834</v>
      </c>
      <c r="BE57" s="59">
        <v>69.080517801011766</v>
      </c>
      <c r="BF57" s="59">
        <v>17.962485198537983</v>
      </c>
      <c r="BG57" s="59">
        <v>12.956997000450249</v>
      </c>
      <c r="BH57" s="60">
        <v>30.919482198988234</v>
      </c>
      <c r="BI57" s="215" t="s">
        <v>356</v>
      </c>
      <c r="BK57" s="455">
        <v>0.190852035</v>
      </c>
      <c r="BL57" s="456">
        <v>9.9335254709999994</v>
      </c>
      <c r="BM57" s="456">
        <v>17.92820343</v>
      </c>
      <c r="BN57" s="456">
        <v>11.11140967</v>
      </c>
      <c r="BO57" s="456">
        <v>1.820858638</v>
      </c>
      <c r="BP57" s="165">
        <f t="shared" si="1"/>
        <v>99.809147964999994</v>
      </c>
      <c r="BQ57" s="26">
        <v>0.288474324</v>
      </c>
      <c r="BR57" s="77">
        <v>6.1895055860000001</v>
      </c>
      <c r="BS57" s="77">
        <v>11.74862004</v>
      </c>
      <c r="BT57" s="77">
        <v>7.4240568470000001</v>
      </c>
      <c r="BU57" s="68">
        <v>1.192795472</v>
      </c>
      <c r="BV57" s="77">
        <v>0.22288730700000001</v>
      </c>
      <c r="BW57" s="77">
        <v>9.2603004280000007</v>
      </c>
      <c r="BX57" s="77">
        <v>10.967112739999999</v>
      </c>
      <c r="BY57" s="77">
        <v>5.4133058250000001</v>
      </c>
      <c r="BZ57" s="77">
        <v>0.71301395099999998</v>
      </c>
      <c r="CA57" s="26" t="s">
        <v>220</v>
      </c>
      <c r="CB57" s="77" t="s">
        <v>220</v>
      </c>
      <c r="CC57" s="77" t="s">
        <v>220</v>
      </c>
      <c r="CD57" s="77" t="s">
        <v>220</v>
      </c>
      <c r="CE57" s="68" t="s">
        <v>220</v>
      </c>
    </row>
    <row r="58" spans="1:83" ht="14.4" customHeight="1" x14ac:dyDescent="0.3">
      <c r="A58" s="41" t="s">
        <v>369</v>
      </c>
      <c r="B58" s="41" t="s">
        <v>463</v>
      </c>
      <c r="C58" s="146" t="s">
        <v>464</v>
      </c>
      <c r="D58" s="146" t="s">
        <v>465</v>
      </c>
      <c r="E58" s="181" t="s">
        <v>186</v>
      </c>
      <c r="F58" s="157" t="s">
        <v>728</v>
      </c>
      <c r="G58" s="158" t="s">
        <v>335</v>
      </c>
      <c r="J58" s="156" t="s">
        <v>188</v>
      </c>
      <c r="K58" s="159" t="s">
        <v>188</v>
      </c>
      <c r="L58" s="302"/>
      <c r="M58" s="302"/>
      <c r="N58" s="302"/>
      <c r="O58" s="302"/>
      <c r="P58" s="182"/>
      <c r="AI58" s="61">
        <v>51.673383280460001</v>
      </c>
      <c r="AJ58" s="61">
        <v>33.494253485044979</v>
      </c>
      <c r="AK58" s="61">
        <v>14.83236323449502</v>
      </c>
      <c r="AL58" s="27">
        <v>48.326616719539999</v>
      </c>
      <c r="BE58" s="59">
        <v>64.385571652917065</v>
      </c>
      <c r="BF58" s="59">
        <v>20.782065112587915</v>
      </c>
      <c r="BG58" s="59">
        <v>14.83236323449502</v>
      </c>
      <c r="BH58" s="60">
        <v>35.614428347082935</v>
      </c>
      <c r="BI58" s="215" t="s">
        <v>356</v>
      </c>
      <c r="BK58" s="455">
        <v>0.26536849099999998</v>
      </c>
      <c r="BL58" s="456">
        <v>12.67845423</v>
      </c>
      <c r="BM58" s="456">
        <v>20.726916060000001</v>
      </c>
      <c r="BN58" s="456">
        <v>12.557811920000001</v>
      </c>
      <c r="BO58" s="456">
        <v>2.2351908960000002</v>
      </c>
      <c r="BP58" s="165">
        <f t="shared" si="1"/>
        <v>99.734631508999996</v>
      </c>
      <c r="BQ58" s="26">
        <v>0.45349647300000001</v>
      </c>
      <c r="BR58" s="77">
        <v>8.8062701959999998</v>
      </c>
      <c r="BS58" s="77">
        <v>15.17450331</v>
      </c>
      <c r="BT58" s="77">
        <v>9.3575241249999994</v>
      </c>
      <c r="BU58" s="68">
        <v>1.612341155</v>
      </c>
      <c r="BV58" s="77">
        <v>0.49147345100000001</v>
      </c>
      <c r="BW58" s="77">
        <v>12.771599889999999</v>
      </c>
      <c r="BX58" s="77">
        <v>12.04027505</v>
      </c>
      <c r="BY58" s="77">
        <v>6.5382828550000003</v>
      </c>
      <c r="BZ58" s="77">
        <v>0.71487771200000005</v>
      </c>
      <c r="CA58" s="26" t="s">
        <v>220</v>
      </c>
      <c r="CB58" s="77" t="s">
        <v>220</v>
      </c>
      <c r="CC58" s="77" t="s">
        <v>220</v>
      </c>
      <c r="CD58" s="77" t="s">
        <v>220</v>
      </c>
      <c r="CE58" s="68" t="s">
        <v>220</v>
      </c>
    </row>
    <row r="59" spans="1:83" ht="14.4" customHeight="1" x14ac:dyDescent="0.3">
      <c r="A59" s="41" t="s">
        <v>369</v>
      </c>
      <c r="B59" s="41" t="s">
        <v>432</v>
      </c>
      <c r="C59" s="146" t="s">
        <v>433</v>
      </c>
      <c r="D59" s="146" t="s">
        <v>462</v>
      </c>
      <c r="E59" s="181" t="s">
        <v>186</v>
      </c>
      <c r="F59" s="157" t="s">
        <v>728</v>
      </c>
      <c r="G59" s="158" t="s">
        <v>185</v>
      </c>
      <c r="I59" s="156" t="s">
        <v>188</v>
      </c>
      <c r="J59" s="156" t="s">
        <v>188</v>
      </c>
      <c r="K59" s="159" t="s">
        <v>188</v>
      </c>
      <c r="L59" s="302"/>
      <c r="M59" s="302"/>
      <c r="N59" s="302"/>
      <c r="O59" s="302"/>
      <c r="P59" s="182"/>
      <c r="AI59" s="61">
        <v>60.81070644597348</v>
      </c>
      <c r="AJ59" s="61">
        <v>21.749226821375576</v>
      </c>
      <c r="AK59" s="61">
        <v>17.440066732650948</v>
      </c>
      <c r="AL59" s="27">
        <v>39.18929355402652</v>
      </c>
      <c r="BE59" s="59">
        <v>68.586918013076954</v>
      </c>
      <c r="BF59" s="59">
        <v>13.973015254272092</v>
      </c>
      <c r="BG59" s="59">
        <v>17.440066732650948</v>
      </c>
      <c r="BH59" s="60">
        <v>31.413081986923039</v>
      </c>
      <c r="BI59" s="215" t="s">
        <v>356</v>
      </c>
      <c r="BK59" s="455">
        <v>0.47456911099999999</v>
      </c>
      <c r="BL59" s="456">
        <v>7.7393080689999998</v>
      </c>
      <c r="BM59" s="456">
        <v>13.90670364</v>
      </c>
      <c r="BN59" s="456">
        <v>11.64004843</v>
      </c>
      <c r="BO59" s="456">
        <v>5.7172531329999998</v>
      </c>
      <c r="BP59" s="165">
        <f t="shared" si="1"/>
        <v>99.525430889000006</v>
      </c>
      <c r="BQ59" s="26">
        <v>1.002552093</v>
      </c>
      <c r="BR59" s="77">
        <v>5.3267478659999998</v>
      </c>
      <c r="BS59" s="77">
        <v>9.2318408440000006</v>
      </c>
      <c r="BT59" s="77">
        <v>7.5536493059999996</v>
      </c>
      <c r="BU59" s="68">
        <v>3.6051444529999999</v>
      </c>
      <c r="BV59" s="77">
        <v>0.67200140200000003</v>
      </c>
      <c r="BW59" s="77">
        <v>6.4078479540000002</v>
      </c>
      <c r="BX59" s="77">
        <v>11.78499246</v>
      </c>
      <c r="BY59" s="77">
        <v>8.6503132520000001</v>
      </c>
      <c r="BZ59" s="77">
        <v>3.388709891</v>
      </c>
      <c r="CA59" s="26" t="s">
        <v>220</v>
      </c>
      <c r="CB59" s="77" t="s">
        <v>220</v>
      </c>
      <c r="CC59" s="77" t="s">
        <v>220</v>
      </c>
      <c r="CD59" s="77" t="s">
        <v>220</v>
      </c>
      <c r="CE59" s="68" t="s">
        <v>220</v>
      </c>
    </row>
    <row r="60" spans="1:83" ht="14.4" customHeight="1" x14ac:dyDescent="0.3">
      <c r="A60" s="298" t="s">
        <v>369</v>
      </c>
      <c r="B60" s="298" t="s">
        <v>432</v>
      </c>
      <c r="C60" s="298" t="s">
        <v>433</v>
      </c>
      <c r="D60" s="298" t="s">
        <v>434</v>
      </c>
      <c r="E60" s="183" t="s">
        <v>186</v>
      </c>
      <c r="F60" s="157" t="s">
        <v>402</v>
      </c>
      <c r="G60" s="158" t="s">
        <v>185</v>
      </c>
      <c r="J60" s="156" t="s">
        <v>188</v>
      </c>
      <c r="K60" s="159" t="s">
        <v>188</v>
      </c>
      <c r="L60" s="302"/>
      <c r="M60" s="302"/>
      <c r="N60" s="302"/>
      <c r="O60" s="302"/>
      <c r="P60" s="182"/>
      <c r="AI60" s="61">
        <v>74.742178732938541</v>
      </c>
      <c r="AJ60" s="61">
        <v>14.917654194512783</v>
      </c>
      <c r="AK60" s="61">
        <v>10.340167072548685</v>
      </c>
      <c r="AL60" s="27">
        <v>25.257821267061466</v>
      </c>
      <c r="BE60" s="59">
        <v>79.954442851932683</v>
      </c>
      <c r="BF60" s="59">
        <v>9.7053900755186362</v>
      </c>
      <c r="BG60" s="59">
        <v>10.340167072548685</v>
      </c>
      <c r="BH60" s="60">
        <v>20.045557148067321</v>
      </c>
      <c r="BI60" s="215" t="s">
        <v>356</v>
      </c>
      <c r="BK60" s="455">
        <v>0.30253664499999999</v>
      </c>
      <c r="BL60" s="456">
        <v>5.1964951099999999</v>
      </c>
      <c r="BM60" s="456">
        <v>9.6760277139999999</v>
      </c>
      <c r="BN60" s="456">
        <v>7.3700407129999999</v>
      </c>
      <c r="BO60" s="456">
        <v>2.938843565</v>
      </c>
      <c r="BP60" s="165">
        <f t="shared" si="1"/>
        <v>99.697463354999996</v>
      </c>
      <c r="BQ60" s="26">
        <v>0.57625102900000003</v>
      </c>
      <c r="BR60" s="77">
        <v>2.8934254720000001</v>
      </c>
      <c r="BS60" s="77">
        <v>5.1713252519999999</v>
      </c>
      <c r="BT60" s="77">
        <v>3.8607626690000001</v>
      </c>
      <c r="BU60" s="68">
        <v>1.468139925</v>
      </c>
      <c r="BV60" s="77">
        <v>0.18427791299999999</v>
      </c>
      <c r="BW60" s="77">
        <v>4.2246323349999999</v>
      </c>
      <c r="BX60" s="77">
        <v>8.4242777009999994</v>
      </c>
      <c r="BY60" s="77">
        <v>5.7376116240000004</v>
      </c>
      <c r="BZ60" s="77">
        <v>1.0858616080000001</v>
      </c>
      <c r="CA60" s="26" t="s">
        <v>220</v>
      </c>
      <c r="CB60" s="77" t="s">
        <v>220</v>
      </c>
      <c r="CC60" s="77" t="s">
        <v>220</v>
      </c>
      <c r="CD60" s="77" t="s">
        <v>220</v>
      </c>
      <c r="CE60" s="68" t="s">
        <v>220</v>
      </c>
    </row>
    <row r="61" spans="1:83" ht="14.4" customHeight="1" x14ac:dyDescent="0.3">
      <c r="A61" s="41" t="s">
        <v>369</v>
      </c>
      <c r="B61" s="41" t="s">
        <v>373</v>
      </c>
      <c r="C61" s="146" t="s">
        <v>507</v>
      </c>
      <c r="D61" s="146" t="s">
        <v>508</v>
      </c>
      <c r="E61" s="181" t="s">
        <v>200</v>
      </c>
      <c r="F61" s="157" t="s">
        <v>500</v>
      </c>
      <c r="G61" s="158" t="s">
        <v>335</v>
      </c>
      <c r="J61" s="156" t="s">
        <v>188</v>
      </c>
      <c r="K61" s="156" t="s">
        <v>187</v>
      </c>
      <c r="L61" s="303"/>
      <c r="M61" s="303"/>
      <c r="N61" s="303"/>
      <c r="O61" s="303"/>
      <c r="P61" s="182"/>
      <c r="AI61" s="61">
        <v>37.460295737000003</v>
      </c>
      <c r="AJ61" s="61">
        <v>11.192689793</v>
      </c>
      <c r="AK61" s="61">
        <v>51.347014469999998</v>
      </c>
      <c r="AL61" s="27">
        <v>62.539704262999997</v>
      </c>
      <c r="BE61" s="59">
        <v>42.650759783000005</v>
      </c>
      <c r="BF61" s="59">
        <v>6.0022257469999998</v>
      </c>
      <c r="BG61" s="59">
        <v>51.347014469999998</v>
      </c>
      <c r="BH61" s="60">
        <v>57.349240216999995</v>
      </c>
      <c r="BI61" s="215" t="s">
        <v>356</v>
      </c>
      <c r="BK61" s="455">
        <v>0</v>
      </c>
      <c r="BL61" s="456">
        <v>5.1904640459999998</v>
      </c>
      <c r="BM61" s="456">
        <v>6.0022257469999998</v>
      </c>
      <c r="BN61" s="456">
        <v>13.84927766</v>
      </c>
      <c r="BO61" s="456">
        <v>37.497736809999999</v>
      </c>
      <c r="BP61" s="165">
        <f t="shared" si="1"/>
        <v>100</v>
      </c>
      <c r="BQ61" s="26">
        <v>0</v>
      </c>
      <c r="BR61" s="77">
        <v>11.13738478</v>
      </c>
      <c r="BS61" s="77">
        <v>8.8490056119999991</v>
      </c>
      <c r="BT61" s="77">
        <v>10.69318324</v>
      </c>
      <c r="BU61" s="68">
        <v>20.14897058</v>
      </c>
      <c r="BV61" s="77">
        <v>0</v>
      </c>
      <c r="BW61" s="77">
        <v>12.068327569999999</v>
      </c>
      <c r="BX61" s="77">
        <v>9.5766651310000004</v>
      </c>
      <c r="BY61" s="77">
        <v>11.84415686</v>
      </c>
      <c r="BZ61" s="77">
        <v>23.19879057</v>
      </c>
      <c r="CA61" s="26" t="s">
        <v>220</v>
      </c>
      <c r="CB61" s="77" t="s">
        <v>220</v>
      </c>
      <c r="CC61" s="77" t="s">
        <v>220</v>
      </c>
      <c r="CD61" s="77" t="s">
        <v>220</v>
      </c>
      <c r="CE61" s="68" t="s">
        <v>220</v>
      </c>
    </row>
    <row r="62" spans="1:83" ht="14.4" customHeight="1" x14ac:dyDescent="0.3">
      <c r="A62" s="41" t="s">
        <v>369</v>
      </c>
      <c r="B62" s="41" t="s">
        <v>373</v>
      </c>
      <c r="C62" s="146" t="s">
        <v>505</v>
      </c>
      <c r="D62" s="149" t="s">
        <v>506</v>
      </c>
      <c r="E62" s="181" t="s">
        <v>186</v>
      </c>
      <c r="F62" s="157" t="s">
        <v>728</v>
      </c>
      <c r="G62" s="158" t="s">
        <v>335</v>
      </c>
      <c r="I62" s="159"/>
      <c r="J62" s="159" t="s">
        <v>188</v>
      </c>
      <c r="K62" s="159" t="s">
        <v>188</v>
      </c>
      <c r="L62" s="302"/>
      <c r="M62" s="302"/>
      <c r="N62" s="302"/>
      <c r="O62" s="302"/>
      <c r="P62" s="182"/>
      <c r="Q62" s="180"/>
      <c r="R62" s="137"/>
      <c r="S62" s="137"/>
      <c r="T62" s="137"/>
      <c r="U62" s="137"/>
      <c r="V62" s="137"/>
      <c r="AI62" s="61">
        <v>55.427601266000011</v>
      </c>
      <c r="AJ62" s="61">
        <v>8.7689455249999995</v>
      </c>
      <c r="AK62" s="61">
        <v>35.803453208999997</v>
      </c>
      <c r="AL62" s="27">
        <v>44.572398733999997</v>
      </c>
      <c r="AM62" s="137"/>
      <c r="AN62" s="137"/>
      <c r="AO62" s="137"/>
      <c r="AP62" s="137"/>
      <c r="AQ62" s="137"/>
      <c r="AR62" s="137"/>
      <c r="BE62" s="59">
        <v>59.347483478000001</v>
      </c>
      <c r="BF62" s="59">
        <v>4.8490633130000003</v>
      </c>
      <c r="BG62" s="59">
        <v>35.803453208999997</v>
      </c>
      <c r="BH62" s="60">
        <v>40.652516521999999</v>
      </c>
      <c r="BI62" s="215" t="s">
        <v>356</v>
      </c>
      <c r="BK62" s="455">
        <v>0</v>
      </c>
      <c r="BL62" s="456">
        <v>3.9198822120000001</v>
      </c>
      <c r="BM62" s="456">
        <v>4.8490633130000003</v>
      </c>
      <c r="BN62" s="456">
        <v>9.7599476589999998</v>
      </c>
      <c r="BO62" s="456">
        <v>26.043505549999999</v>
      </c>
      <c r="BP62" s="165">
        <f t="shared" si="1"/>
        <v>100</v>
      </c>
      <c r="BQ62" s="26">
        <v>0</v>
      </c>
      <c r="BR62" s="77">
        <v>5.5396077479999999</v>
      </c>
      <c r="BS62" s="77">
        <v>4.6530668559999997</v>
      </c>
      <c r="BT62" s="77">
        <v>4.4639251599999996</v>
      </c>
      <c r="BU62" s="68">
        <v>8.1796667739999993</v>
      </c>
      <c r="BV62" s="77">
        <v>0</v>
      </c>
      <c r="BW62" s="77">
        <v>6.1403307519999997</v>
      </c>
      <c r="BX62" s="77">
        <v>5.3288579570000003</v>
      </c>
      <c r="BY62" s="77">
        <v>5.3543376819999997</v>
      </c>
      <c r="BZ62" s="77">
        <v>9.8837182830000003</v>
      </c>
      <c r="CA62" s="26" t="s">
        <v>220</v>
      </c>
      <c r="CB62" s="77" t="s">
        <v>220</v>
      </c>
      <c r="CC62" s="77" t="s">
        <v>220</v>
      </c>
      <c r="CD62" s="77" t="s">
        <v>220</v>
      </c>
      <c r="CE62" s="68" t="s">
        <v>220</v>
      </c>
    </row>
    <row r="63" spans="1:83" ht="14.4" customHeight="1" x14ac:dyDescent="0.3">
      <c r="A63" s="86" t="s">
        <v>369</v>
      </c>
      <c r="B63" s="86" t="s">
        <v>386</v>
      </c>
      <c r="C63" s="147" t="s">
        <v>503</v>
      </c>
      <c r="D63" s="147" t="s">
        <v>504</v>
      </c>
      <c r="E63" s="181" t="s">
        <v>200</v>
      </c>
      <c r="F63" s="157" t="s">
        <v>500</v>
      </c>
      <c r="G63" s="158" t="s">
        <v>335</v>
      </c>
      <c r="I63" s="159"/>
      <c r="J63" s="159" t="s">
        <v>188</v>
      </c>
      <c r="K63" s="159" t="s">
        <v>187</v>
      </c>
      <c r="L63" s="302"/>
      <c r="M63" s="302"/>
      <c r="N63" s="302"/>
      <c r="O63" s="302"/>
      <c r="P63" s="182"/>
      <c r="Q63" s="69"/>
      <c r="R63" s="86"/>
      <c r="S63" s="86"/>
      <c r="T63" s="86"/>
      <c r="U63" s="86"/>
      <c r="V63" s="86"/>
      <c r="AI63" s="61">
        <v>37.460295737000003</v>
      </c>
      <c r="AJ63" s="61">
        <v>11.192689793</v>
      </c>
      <c r="AK63" s="61">
        <v>51.347014469999998</v>
      </c>
      <c r="AL63" s="27">
        <v>62.539704262999997</v>
      </c>
      <c r="AM63" s="86"/>
      <c r="AN63" s="86"/>
      <c r="AO63" s="86"/>
      <c r="AP63" s="86"/>
      <c r="AQ63" s="86"/>
      <c r="AR63" s="86"/>
      <c r="BE63" s="59">
        <v>42.650759783000005</v>
      </c>
      <c r="BF63" s="59">
        <v>6.0022257469999998</v>
      </c>
      <c r="BG63" s="59">
        <v>51.347014469999998</v>
      </c>
      <c r="BH63" s="60">
        <v>57.349240216999995</v>
      </c>
      <c r="BI63" s="215" t="s">
        <v>356</v>
      </c>
      <c r="BK63" s="457">
        <v>0</v>
      </c>
      <c r="BL63" s="458">
        <v>5.1904640459999998</v>
      </c>
      <c r="BM63" s="458">
        <v>6.0022257469999998</v>
      </c>
      <c r="BN63" s="458">
        <v>13.84927766</v>
      </c>
      <c r="BO63" s="458">
        <v>37.497736809999999</v>
      </c>
      <c r="BP63" s="165">
        <f t="shared" si="1"/>
        <v>100</v>
      </c>
      <c r="BQ63" s="26"/>
      <c r="BR63" s="77"/>
      <c r="BS63" s="77"/>
      <c r="BT63" s="77"/>
      <c r="BU63" s="68"/>
      <c r="BV63" s="77">
        <v>0</v>
      </c>
      <c r="BW63" s="77">
        <v>1.0174444060000001</v>
      </c>
      <c r="BX63" s="77">
        <v>1.0570629499999999</v>
      </c>
      <c r="BY63" s="77">
        <v>0.14160583199999999</v>
      </c>
      <c r="BZ63" s="77">
        <v>3.7383939999999997E-2</v>
      </c>
      <c r="CA63" s="26" t="s">
        <v>220</v>
      </c>
      <c r="CB63" s="77" t="s">
        <v>220</v>
      </c>
      <c r="CC63" s="77" t="s">
        <v>220</v>
      </c>
      <c r="CD63" s="77" t="s">
        <v>220</v>
      </c>
      <c r="CE63" s="68" t="s">
        <v>220</v>
      </c>
    </row>
    <row r="64" spans="1:83" ht="14.4" customHeight="1" x14ac:dyDescent="0.3">
      <c r="A64" s="41" t="s">
        <v>369</v>
      </c>
      <c r="B64" s="41" t="s">
        <v>459</v>
      </c>
      <c r="C64" s="146" t="s">
        <v>460</v>
      </c>
      <c r="D64" s="146" t="s">
        <v>461</v>
      </c>
      <c r="E64" s="181" t="s">
        <v>186</v>
      </c>
      <c r="F64" s="157" t="s">
        <v>728</v>
      </c>
      <c r="G64" s="158" t="s">
        <v>335</v>
      </c>
      <c r="J64" s="156" t="s">
        <v>188</v>
      </c>
      <c r="K64" s="156" t="s">
        <v>188</v>
      </c>
      <c r="L64" s="303"/>
      <c r="M64" s="303"/>
      <c r="N64" s="303"/>
      <c r="O64" s="303"/>
      <c r="P64" s="182"/>
      <c r="AI64" s="61">
        <v>63.150320077320544</v>
      </c>
      <c r="AJ64" s="61">
        <v>21.478518369086153</v>
      </c>
      <c r="AK64" s="61">
        <v>15.371161553593307</v>
      </c>
      <c r="AL64" s="27">
        <v>36.849679922679456</v>
      </c>
      <c r="BE64" s="59">
        <v>70.73871908214096</v>
      </c>
      <c r="BF64" s="59">
        <v>13.890119364265729</v>
      </c>
      <c r="BG64" s="59">
        <v>15.371161553593307</v>
      </c>
      <c r="BH64" s="60">
        <v>29.261280917859036</v>
      </c>
      <c r="BI64" s="215" t="s">
        <v>356</v>
      </c>
      <c r="BK64" s="455">
        <v>0.41980967000000002</v>
      </c>
      <c r="BL64" s="456">
        <v>7.5565421720000003</v>
      </c>
      <c r="BM64" s="456">
        <v>13.831807299999999</v>
      </c>
      <c r="BN64" s="456">
        <v>10.893476</v>
      </c>
      <c r="BO64" s="456">
        <v>4.4131559310000004</v>
      </c>
      <c r="BP64" s="165">
        <f t="shared" si="1"/>
        <v>99.580190329999994</v>
      </c>
      <c r="BQ64" s="26">
        <v>0.93569634000000002</v>
      </c>
      <c r="BR64" s="77">
        <v>5.1068482130000001</v>
      </c>
      <c r="BS64" s="77">
        <v>9.0731611660000002</v>
      </c>
      <c r="BT64" s="77">
        <v>7.0033773249999998</v>
      </c>
      <c r="BU64" s="68">
        <v>2.7063859090000002</v>
      </c>
      <c r="BV64" s="77">
        <v>0.57378808599999997</v>
      </c>
      <c r="BW64" s="77">
        <v>5.7945077319999996</v>
      </c>
      <c r="BX64" s="77">
        <v>10.80348635</v>
      </c>
      <c r="BY64" s="77">
        <v>7.9537203090000004</v>
      </c>
      <c r="BZ64" s="77">
        <v>2.901581459</v>
      </c>
      <c r="CA64" s="26" t="s">
        <v>220</v>
      </c>
      <c r="CB64" s="77" t="s">
        <v>220</v>
      </c>
      <c r="CC64" s="77" t="s">
        <v>220</v>
      </c>
      <c r="CD64" s="77" t="s">
        <v>220</v>
      </c>
      <c r="CE64" s="68" t="s">
        <v>220</v>
      </c>
    </row>
    <row r="65" spans="1:83" ht="14.4" customHeight="1" x14ac:dyDescent="0.3">
      <c r="A65" s="86" t="s">
        <v>369</v>
      </c>
      <c r="B65" s="86" t="s">
        <v>456</v>
      </c>
      <c r="C65" s="147" t="s">
        <v>457</v>
      </c>
      <c r="D65" s="147" t="s">
        <v>458</v>
      </c>
      <c r="E65" s="181" t="s">
        <v>186</v>
      </c>
      <c r="F65" s="157" t="s">
        <v>728</v>
      </c>
      <c r="G65" s="158" t="s">
        <v>335</v>
      </c>
      <c r="I65" s="159"/>
      <c r="J65" s="159" t="s">
        <v>188</v>
      </c>
      <c r="K65" s="159" t="s">
        <v>188</v>
      </c>
      <c r="L65" s="302"/>
      <c r="M65" s="302"/>
      <c r="N65" s="302"/>
      <c r="O65" s="302"/>
      <c r="P65" s="182"/>
      <c r="Q65" s="69"/>
      <c r="R65" s="86"/>
      <c r="S65" s="86"/>
      <c r="T65" s="86"/>
      <c r="U65" s="86"/>
      <c r="V65" s="86"/>
      <c r="AI65" s="61">
        <v>59.702480575429561</v>
      </c>
      <c r="AJ65" s="61">
        <v>23.427870994578356</v>
      </c>
      <c r="AK65" s="61">
        <v>16.869648429992083</v>
      </c>
      <c r="AL65" s="27">
        <v>40.297519424570439</v>
      </c>
      <c r="AM65" s="86"/>
      <c r="AN65" s="86"/>
      <c r="AO65" s="86"/>
      <c r="AP65" s="86"/>
      <c r="AQ65" s="86"/>
      <c r="AR65" s="86"/>
      <c r="BE65" s="59">
        <v>67.867455460718844</v>
      </c>
      <c r="BF65" s="59">
        <v>15.262896109289073</v>
      </c>
      <c r="BG65" s="59">
        <v>16.869648429992083</v>
      </c>
      <c r="BH65" s="60">
        <v>32.132544539281156</v>
      </c>
      <c r="BI65" s="215" t="s">
        <v>356</v>
      </c>
      <c r="BK65" s="455">
        <v>0.47995124099999997</v>
      </c>
      <c r="BL65" s="456">
        <v>8.1257869869999997</v>
      </c>
      <c r="BM65" s="456">
        <v>15.18964165</v>
      </c>
      <c r="BN65" s="456">
        <v>11.98034457</v>
      </c>
      <c r="BO65" s="456">
        <v>4.8083377729999999</v>
      </c>
      <c r="BP65" s="165">
        <f t="shared" si="1"/>
        <v>99.520048759000005</v>
      </c>
      <c r="BQ65" s="26">
        <v>1.132654402</v>
      </c>
      <c r="BR65" s="77">
        <v>5.5646925600000001</v>
      </c>
      <c r="BS65" s="77">
        <v>9.9864998630000006</v>
      </c>
      <c r="BT65" s="77">
        <v>7.710266088</v>
      </c>
      <c r="BU65" s="68">
        <v>2.9511309670000001</v>
      </c>
      <c r="BV65" s="77">
        <v>0.89039580100000004</v>
      </c>
      <c r="BW65" s="77">
        <v>6.5469977259999999</v>
      </c>
      <c r="BX65" s="77">
        <v>12.45573355</v>
      </c>
      <c r="BY65" s="77">
        <v>9.4331238079999995</v>
      </c>
      <c r="BZ65" s="77">
        <v>3.1597738080000002</v>
      </c>
      <c r="CA65" s="26" t="s">
        <v>220</v>
      </c>
      <c r="CB65" s="77" t="s">
        <v>220</v>
      </c>
      <c r="CC65" s="77" t="s">
        <v>220</v>
      </c>
      <c r="CD65" s="77" t="s">
        <v>220</v>
      </c>
      <c r="CE65" s="68" t="s">
        <v>220</v>
      </c>
    </row>
    <row r="66" spans="1:83" ht="14.4" customHeight="1" x14ac:dyDescent="0.3">
      <c r="A66" s="41" t="s">
        <v>369</v>
      </c>
      <c r="B66" s="41" t="s">
        <v>405</v>
      </c>
      <c r="C66" s="146" t="s">
        <v>406</v>
      </c>
      <c r="D66" s="146" t="s">
        <v>408</v>
      </c>
      <c r="E66" s="183" t="s">
        <v>186</v>
      </c>
      <c r="F66" s="157" t="s">
        <v>402</v>
      </c>
      <c r="G66" s="158" t="s">
        <v>185</v>
      </c>
      <c r="H66" s="136" t="s">
        <v>383</v>
      </c>
      <c r="I66" s="156" t="s">
        <v>188</v>
      </c>
      <c r="J66" s="156" t="s">
        <v>188</v>
      </c>
      <c r="K66" s="156" t="s">
        <v>188</v>
      </c>
      <c r="L66" s="303"/>
      <c r="M66" s="303"/>
      <c r="N66" s="303"/>
      <c r="O66" s="303"/>
      <c r="P66" s="182"/>
      <c r="AI66" s="61">
        <v>76.125163714986201</v>
      </c>
      <c r="AJ66" s="61">
        <v>13.971024995528348</v>
      </c>
      <c r="AK66" s="61">
        <v>9.9038112894854446</v>
      </c>
      <c r="AL66" s="27">
        <v>23.874836285013792</v>
      </c>
      <c r="BE66" s="59">
        <v>81.010750389020231</v>
      </c>
      <c r="BF66" s="59">
        <v>9.0854383214943262</v>
      </c>
      <c r="BG66" s="59">
        <v>9.9038112894854446</v>
      </c>
      <c r="BH66" s="60">
        <v>18.989249610979769</v>
      </c>
      <c r="BI66" s="215" t="s">
        <v>356</v>
      </c>
      <c r="BK66" s="455">
        <v>0.27644534700000001</v>
      </c>
      <c r="BL66" s="456">
        <v>4.8720806970000003</v>
      </c>
      <c r="BM66" s="456">
        <v>9.0603220499999999</v>
      </c>
      <c r="BN66" s="456">
        <v>7.0524430210000002</v>
      </c>
      <c r="BO66" s="456">
        <v>2.823989643</v>
      </c>
      <c r="BP66" s="165">
        <f t="shared" si="1"/>
        <v>99.723554652999994</v>
      </c>
      <c r="BQ66" s="26">
        <v>0.570181563</v>
      </c>
      <c r="BR66" s="77">
        <v>3.204627135</v>
      </c>
      <c r="BS66" s="77">
        <v>5.7907964859999996</v>
      </c>
      <c r="BT66" s="77">
        <v>4.4212517599999996</v>
      </c>
      <c r="BU66" s="68">
        <v>1.688428445</v>
      </c>
      <c r="BV66" s="77">
        <v>0.37584467399999999</v>
      </c>
      <c r="BW66" s="77">
        <v>4.5611270509999997</v>
      </c>
      <c r="BX66" s="77">
        <v>8.144668029</v>
      </c>
      <c r="BY66" s="77">
        <v>6.1103884009999998</v>
      </c>
      <c r="BZ66" s="77">
        <v>2.3721748749999998</v>
      </c>
      <c r="CA66" s="26" t="s">
        <v>220</v>
      </c>
      <c r="CB66" s="77" t="s">
        <v>220</v>
      </c>
      <c r="CC66" s="77" t="s">
        <v>220</v>
      </c>
      <c r="CD66" s="77" t="s">
        <v>220</v>
      </c>
      <c r="CE66" s="68" t="s">
        <v>220</v>
      </c>
    </row>
    <row r="67" spans="1:83" ht="14.4" customHeight="1" x14ac:dyDescent="0.3">
      <c r="A67" s="298" t="s">
        <v>369</v>
      </c>
      <c r="B67" s="298" t="s">
        <v>405</v>
      </c>
      <c r="C67" s="298" t="s">
        <v>406</v>
      </c>
      <c r="D67" s="298" t="s">
        <v>407</v>
      </c>
      <c r="E67" s="183" t="s">
        <v>186</v>
      </c>
      <c r="F67" s="157" t="s">
        <v>402</v>
      </c>
      <c r="G67" s="158" t="s">
        <v>185</v>
      </c>
      <c r="H67" s="136" t="s">
        <v>383</v>
      </c>
      <c r="J67" s="156" t="s">
        <v>188</v>
      </c>
      <c r="K67" s="156" t="s">
        <v>188</v>
      </c>
      <c r="L67" s="303"/>
      <c r="M67" s="303"/>
      <c r="N67" s="303"/>
      <c r="O67" s="303"/>
      <c r="P67" s="182"/>
      <c r="AI67" s="61">
        <v>81.790085357443161</v>
      </c>
      <c r="AJ67" s="61">
        <v>10.659894395590651</v>
      </c>
      <c r="AK67" s="61">
        <v>7.5500202469661799</v>
      </c>
      <c r="AL67" s="27">
        <v>18.209914642556832</v>
      </c>
      <c r="BE67" s="59">
        <v>85.511983391743257</v>
      </c>
      <c r="BF67" s="59">
        <v>6.9379963612905549</v>
      </c>
      <c r="BG67" s="59">
        <v>7.5500202469661799</v>
      </c>
      <c r="BH67" s="60">
        <v>14.488016608256736</v>
      </c>
      <c r="BI67" s="215" t="s">
        <v>356</v>
      </c>
      <c r="BK67" s="455">
        <v>0.21075838799999999</v>
      </c>
      <c r="BL67" s="456">
        <v>3.7140538219999999</v>
      </c>
      <c r="BM67" s="456">
        <v>6.9233739520000004</v>
      </c>
      <c r="BN67" s="456">
        <v>5.3828956229999996</v>
      </c>
      <c r="BO67" s="456">
        <v>2.1512123230000002</v>
      </c>
      <c r="BP67" s="165">
        <f t="shared" ref="BP67:BP74" si="2">100-BK67</f>
        <v>99.789241611999998</v>
      </c>
      <c r="BQ67" s="26">
        <v>0.42757371500000002</v>
      </c>
      <c r="BR67" s="77">
        <v>2.414269182</v>
      </c>
      <c r="BS67" s="77">
        <v>4.345250064</v>
      </c>
      <c r="BT67" s="77">
        <v>3.3019812910000002</v>
      </c>
      <c r="BU67" s="68">
        <v>1.258341903</v>
      </c>
      <c r="BV67" s="77">
        <v>0.37175349200000002</v>
      </c>
      <c r="BW67" s="77">
        <v>4.5117695759999998</v>
      </c>
      <c r="BX67" s="77">
        <v>8.0568167529999997</v>
      </c>
      <c r="BY67" s="77">
        <v>6.0438897310000002</v>
      </c>
      <c r="BZ67" s="77">
        <v>2.3463530420000001</v>
      </c>
      <c r="CA67" s="26" t="s">
        <v>220</v>
      </c>
      <c r="CB67" s="77" t="s">
        <v>220</v>
      </c>
      <c r="CC67" s="77" t="s">
        <v>220</v>
      </c>
      <c r="CD67" s="77" t="s">
        <v>220</v>
      </c>
      <c r="CE67" s="68" t="s">
        <v>220</v>
      </c>
    </row>
    <row r="68" spans="1:83" ht="14.4" customHeight="1" x14ac:dyDescent="0.3">
      <c r="A68" s="41" t="s">
        <v>369</v>
      </c>
      <c r="B68" s="41" t="s">
        <v>484</v>
      </c>
      <c r="C68" s="146" t="s">
        <v>501</v>
      </c>
      <c r="D68" s="146" t="s">
        <v>502</v>
      </c>
      <c r="E68" s="181" t="s">
        <v>200</v>
      </c>
      <c r="F68" s="157" t="s">
        <v>500</v>
      </c>
      <c r="G68" s="158" t="s">
        <v>335</v>
      </c>
      <c r="J68" s="156" t="s">
        <v>188</v>
      </c>
      <c r="K68" s="156" t="s">
        <v>201</v>
      </c>
      <c r="L68" s="303"/>
      <c r="M68" s="303"/>
      <c r="N68" s="303"/>
      <c r="O68" s="303"/>
      <c r="P68" s="182"/>
      <c r="AI68" s="61">
        <v>37.460295737000003</v>
      </c>
      <c r="AJ68" s="61">
        <v>11.192689793</v>
      </c>
      <c r="AK68" s="61">
        <v>51.347014469999998</v>
      </c>
      <c r="AL68" s="27">
        <v>62.539704262999997</v>
      </c>
      <c r="BE68" s="59">
        <v>42.650759783000005</v>
      </c>
      <c r="BF68" s="59">
        <v>6.0022257469999998</v>
      </c>
      <c r="BG68" s="59">
        <v>51.347014469999998</v>
      </c>
      <c r="BH68" s="60">
        <v>57.349240216999995</v>
      </c>
      <c r="BI68" s="215" t="s">
        <v>356</v>
      </c>
      <c r="BK68" s="455">
        <v>0</v>
      </c>
      <c r="BL68" s="456">
        <v>5.1904640459999998</v>
      </c>
      <c r="BM68" s="456">
        <v>6.0022257469999998</v>
      </c>
      <c r="BN68" s="456">
        <v>13.84927766</v>
      </c>
      <c r="BO68" s="456">
        <v>37.497736809999999</v>
      </c>
      <c r="BP68" s="165">
        <f t="shared" si="2"/>
        <v>100</v>
      </c>
      <c r="BQ68" s="26">
        <v>0</v>
      </c>
      <c r="BR68" s="77">
        <v>11.13738478</v>
      </c>
      <c r="BS68" s="77">
        <v>8.8490056119999991</v>
      </c>
      <c r="BT68" s="77">
        <v>10.69318324</v>
      </c>
      <c r="BU68" s="68">
        <v>20.14897058</v>
      </c>
      <c r="BV68" s="77">
        <v>0</v>
      </c>
      <c r="BW68" s="77">
        <v>11.74465442</v>
      </c>
      <c r="BX68" s="77">
        <v>9.3939843389999993</v>
      </c>
      <c r="BY68" s="77">
        <v>11.27862414</v>
      </c>
      <c r="BZ68" s="77">
        <v>22.800943459999999</v>
      </c>
      <c r="CA68" s="26" t="s">
        <v>220</v>
      </c>
      <c r="CB68" s="77" t="s">
        <v>220</v>
      </c>
      <c r="CC68" s="77" t="s">
        <v>220</v>
      </c>
      <c r="CD68" s="77" t="s">
        <v>220</v>
      </c>
      <c r="CE68" s="68" t="s">
        <v>220</v>
      </c>
    </row>
    <row r="69" spans="1:83" ht="14.4" customHeight="1" x14ac:dyDescent="0.3">
      <c r="A69" s="54" t="s">
        <v>369</v>
      </c>
      <c r="B69" s="54" t="s">
        <v>453</v>
      </c>
      <c r="C69" s="54" t="s">
        <v>454</v>
      </c>
      <c r="D69" s="54" t="s">
        <v>455</v>
      </c>
      <c r="E69" s="181" t="s">
        <v>186</v>
      </c>
      <c r="F69" s="157" t="s">
        <v>728</v>
      </c>
      <c r="G69" s="158" t="s">
        <v>335</v>
      </c>
      <c r="J69" s="156" t="s">
        <v>188</v>
      </c>
      <c r="K69" s="156" t="s">
        <v>188</v>
      </c>
      <c r="L69" s="303"/>
      <c r="M69" s="303"/>
      <c r="N69" s="303"/>
      <c r="O69" s="303"/>
      <c r="P69" s="182"/>
      <c r="AI69" s="61">
        <v>51.933753583752868</v>
      </c>
      <c r="AJ69" s="61">
        <v>28.813546432435089</v>
      </c>
      <c r="AK69" s="61">
        <v>19.252699983812043</v>
      </c>
      <c r="AL69" s="27">
        <v>48.066246416247132</v>
      </c>
      <c r="BE69" s="59">
        <v>61.326932739870337</v>
      </c>
      <c r="BF69" s="59">
        <v>19.420367276317624</v>
      </c>
      <c r="BG69" s="59">
        <v>19.252699983812043</v>
      </c>
      <c r="BH69" s="60">
        <v>38.67306726012967</v>
      </c>
      <c r="BI69" s="215" t="s">
        <v>356</v>
      </c>
      <c r="BK69" s="455">
        <v>0.34942504099999999</v>
      </c>
      <c r="BL69" s="456">
        <v>9.3603570359999999</v>
      </c>
      <c r="BM69" s="456">
        <v>19.35250765</v>
      </c>
      <c r="BN69" s="456">
        <v>14.23324691</v>
      </c>
      <c r="BO69" s="456">
        <v>4.9521793189999999</v>
      </c>
      <c r="BP69" s="165">
        <f t="shared" si="2"/>
        <v>99.650574958999997</v>
      </c>
      <c r="BQ69" s="26">
        <v>0.46271949299999998</v>
      </c>
      <c r="BR69" s="77">
        <v>6.2226233009999996</v>
      </c>
      <c r="BS69" s="77">
        <v>12.8628524</v>
      </c>
      <c r="BT69" s="77">
        <v>9.3990505039999999</v>
      </c>
      <c r="BU69" s="68">
        <v>3.0703099300000001</v>
      </c>
      <c r="BV69" s="77">
        <v>0.53760674200000003</v>
      </c>
      <c r="BW69" s="77">
        <v>4.8413418249999998</v>
      </c>
      <c r="BX69" s="77">
        <v>10.64730039</v>
      </c>
      <c r="BY69" s="77">
        <v>8.5064783389999992</v>
      </c>
      <c r="BZ69" s="77">
        <v>4.0410239060000004</v>
      </c>
      <c r="CA69" s="26" t="s">
        <v>220</v>
      </c>
      <c r="CB69" s="77" t="s">
        <v>220</v>
      </c>
      <c r="CC69" s="77" t="s">
        <v>220</v>
      </c>
      <c r="CD69" s="77" t="s">
        <v>220</v>
      </c>
      <c r="CE69" s="68" t="s">
        <v>220</v>
      </c>
    </row>
    <row r="70" spans="1:83" ht="14.4" customHeight="1" x14ac:dyDescent="0.3">
      <c r="A70" s="41" t="s">
        <v>369</v>
      </c>
      <c r="B70" s="41" t="s">
        <v>497</v>
      </c>
      <c r="C70" s="146" t="s">
        <v>498</v>
      </c>
      <c r="D70" s="146" t="s">
        <v>499</v>
      </c>
      <c r="E70" s="181" t="s">
        <v>200</v>
      </c>
      <c r="F70" s="157" t="s">
        <v>500</v>
      </c>
      <c r="G70" s="158" t="s">
        <v>335</v>
      </c>
      <c r="J70" s="156" t="s">
        <v>188</v>
      </c>
      <c r="K70" s="156" t="s">
        <v>187</v>
      </c>
      <c r="L70" s="303"/>
      <c r="M70" s="303"/>
      <c r="N70" s="303"/>
      <c r="O70" s="303"/>
      <c r="P70" s="182"/>
      <c r="AI70" s="61">
        <v>37.460295737000003</v>
      </c>
      <c r="AJ70" s="61">
        <v>11.192689793</v>
      </c>
      <c r="AK70" s="61">
        <v>51.347014469999998</v>
      </c>
      <c r="AL70" s="27">
        <v>62.539704262999997</v>
      </c>
      <c r="BE70" s="59">
        <v>42.650759783000005</v>
      </c>
      <c r="BF70" s="59">
        <v>6.0022257469999998</v>
      </c>
      <c r="BG70" s="59">
        <v>51.347014469999998</v>
      </c>
      <c r="BH70" s="60">
        <v>57.349240216999995</v>
      </c>
      <c r="BI70" s="215" t="s">
        <v>356</v>
      </c>
      <c r="BK70" s="455">
        <v>0</v>
      </c>
      <c r="BL70" s="456">
        <v>5.1904640459999998</v>
      </c>
      <c r="BM70" s="456">
        <v>6.0022257469999998</v>
      </c>
      <c r="BN70" s="456">
        <v>13.84927766</v>
      </c>
      <c r="BO70" s="456">
        <v>37.497736809999999</v>
      </c>
      <c r="BP70" s="165">
        <f t="shared" si="2"/>
        <v>100</v>
      </c>
      <c r="BQ70" s="26">
        <v>0</v>
      </c>
      <c r="BR70" s="77">
        <v>11.13738478</v>
      </c>
      <c r="BS70" s="77">
        <v>8.8490056119999991</v>
      </c>
      <c r="BT70" s="77">
        <v>10.69318324</v>
      </c>
      <c r="BU70" s="68">
        <v>20.14897058</v>
      </c>
      <c r="BV70" s="77">
        <v>0</v>
      </c>
      <c r="BW70" s="77">
        <v>11.183778459999999</v>
      </c>
      <c r="BX70" s="77">
        <v>8.8849988920000005</v>
      </c>
      <c r="BY70" s="77">
        <v>10.71143738</v>
      </c>
      <c r="BZ70" s="77">
        <v>20.271953360000001</v>
      </c>
      <c r="CA70" s="26" t="s">
        <v>220</v>
      </c>
      <c r="CB70" s="77" t="s">
        <v>220</v>
      </c>
      <c r="CC70" s="77" t="s">
        <v>220</v>
      </c>
      <c r="CD70" s="77" t="s">
        <v>220</v>
      </c>
      <c r="CE70" s="68" t="s">
        <v>220</v>
      </c>
    </row>
    <row r="71" spans="1:83" ht="14.4" customHeight="1" x14ac:dyDescent="0.3">
      <c r="A71" s="41" t="s">
        <v>369</v>
      </c>
      <c r="B71" s="41" t="s">
        <v>379</v>
      </c>
      <c r="C71" s="146" t="s">
        <v>403</v>
      </c>
      <c r="D71" s="146" t="s">
        <v>404</v>
      </c>
      <c r="E71" s="181" t="s">
        <v>186</v>
      </c>
      <c r="F71" s="157" t="s">
        <v>402</v>
      </c>
      <c r="G71" s="158" t="s">
        <v>185</v>
      </c>
      <c r="H71" s="136" t="s">
        <v>383</v>
      </c>
      <c r="I71" s="156" t="s">
        <v>188</v>
      </c>
      <c r="J71" s="156" t="s">
        <v>188</v>
      </c>
      <c r="K71" s="156" t="s">
        <v>188</v>
      </c>
      <c r="L71" s="303"/>
      <c r="M71" s="303"/>
      <c r="N71" s="303"/>
      <c r="O71" s="303"/>
      <c r="P71" s="182"/>
      <c r="Q71" s="179"/>
      <c r="T71" s="145"/>
      <c r="W71" s="145"/>
      <c r="AI71" s="61">
        <v>89.32363464094658</v>
      </c>
      <c r="AJ71" s="61">
        <v>7.3153207835549034</v>
      </c>
      <c r="AK71" s="61">
        <v>3.3610445754985077</v>
      </c>
      <c r="AL71" s="27">
        <v>10.676365359053412</v>
      </c>
      <c r="AM71" s="166"/>
      <c r="AN71" s="146"/>
      <c r="AO71" s="146"/>
      <c r="AP71" s="166"/>
      <c r="AQ71" s="146"/>
      <c r="AR71" s="146"/>
      <c r="AS71" s="166"/>
      <c r="AT71" s="148"/>
      <c r="AU71" s="148"/>
      <c r="BE71" s="59">
        <v>91.935858697287273</v>
      </c>
      <c r="BF71" s="59">
        <v>4.7030967272142234</v>
      </c>
      <c r="BG71" s="59">
        <v>3.3610445754985077</v>
      </c>
      <c r="BH71" s="60">
        <v>8.0641413027127307</v>
      </c>
      <c r="BI71" s="215" t="s">
        <v>356</v>
      </c>
      <c r="BK71" s="455">
        <v>5.8202485999999998E-2</v>
      </c>
      <c r="BL71" s="456">
        <v>2.6107036770000001</v>
      </c>
      <c r="BM71" s="456">
        <v>4.7003594079999997</v>
      </c>
      <c r="BN71" s="456">
        <v>2.8796964869999999</v>
      </c>
      <c r="BO71" s="456">
        <v>0.47939187700000002</v>
      </c>
      <c r="BP71" s="165">
        <f t="shared" si="2"/>
        <v>99.941797514000001</v>
      </c>
      <c r="BQ71" s="26">
        <v>0.110350447</v>
      </c>
      <c r="BR71" s="77">
        <v>2.0328201680000002</v>
      </c>
      <c r="BS71" s="77">
        <v>3.8169204400000001</v>
      </c>
      <c r="BT71" s="77">
        <v>2.392825459</v>
      </c>
      <c r="BU71" s="68">
        <v>0.390235106</v>
      </c>
      <c r="BV71" s="77">
        <v>6.8659587999999994E-2</v>
      </c>
      <c r="BW71" s="77">
        <v>2.5090615949999999</v>
      </c>
      <c r="BX71" s="77">
        <v>3.9097482700000001</v>
      </c>
      <c r="BY71" s="77">
        <v>2.414855164</v>
      </c>
      <c r="BZ71" s="77">
        <v>0.50608390800000003</v>
      </c>
      <c r="CA71" s="26" t="s">
        <v>220</v>
      </c>
      <c r="CB71" s="77" t="s">
        <v>220</v>
      </c>
      <c r="CC71" s="77" t="s">
        <v>220</v>
      </c>
      <c r="CD71" s="77" t="s">
        <v>220</v>
      </c>
      <c r="CE71" s="68" t="s">
        <v>220</v>
      </c>
    </row>
    <row r="72" spans="1:83" ht="14.4" customHeight="1" x14ac:dyDescent="0.3">
      <c r="A72" s="54" t="s">
        <v>369</v>
      </c>
      <c r="B72" s="54" t="s">
        <v>379</v>
      </c>
      <c r="C72" s="54" t="s">
        <v>400</v>
      </c>
      <c r="D72" s="54" t="s">
        <v>401</v>
      </c>
      <c r="E72" s="183" t="s">
        <v>186</v>
      </c>
      <c r="F72" s="157" t="s">
        <v>402</v>
      </c>
      <c r="G72" s="158" t="s">
        <v>335</v>
      </c>
      <c r="H72" s="136" t="s">
        <v>383</v>
      </c>
      <c r="J72" s="156" t="s">
        <v>188</v>
      </c>
      <c r="K72" s="156" t="s">
        <v>188</v>
      </c>
      <c r="L72" s="303"/>
      <c r="M72" s="303"/>
      <c r="N72" s="303"/>
      <c r="O72" s="303"/>
      <c r="P72" s="182"/>
      <c r="AI72" s="61">
        <v>77.00663163891187</v>
      </c>
      <c r="AJ72" s="61">
        <v>15.754787308113849</v>
      </c>
      <c r="AK72" s="61">
        <v>7.2385810529742782</v>
      </c>
      <c r="AL72" s="27">
        <v>22.993368361088127</v>
      </c>
      <c r="BE72" s="59">
        <v>82.632500363368166</v>
      </c>
      <c r="BF72" s="59">
        <v>10.128918583657549</v>
      </c>
      <c r="BG72" s="59">
        <v>7.2385810529742782</v>
      </c>
      <c r="BH72" s="60">
        <v>17.367499636631827</v>
      </c>
      <c r="BI72" s="215" t="s">
        <v>356</v>
      </c>
      <c r="BK72" s="455">
        <v>0.12526483999999999</v>
      </c>
      <c r="BL72" s="456">
        <v>5.6188214890000001</v>
      </c>
      <c r="BM72" s="456">
        <v>10.116230610000001</v>
      </c>
      <c r="BN72" s="456">
        <v>6.1977545149999997</v>
      </c>
      <c r="BO72" s="456">
        <v>1.031759141</v>
      </c>
      <c r="BP72" s="165">
        <f t="shared" si="2"/>
        <v>99.87473516</v>
      </c>
      <c r="BQ72" s="26">
        <v>0.18321965300000001</v>
      </c>
      <c r="BR72" s="77">
        <v>3.3751798609999999</v>
      </c>
      <c r="BS72" s="77">
        <v>6.3373992460000004</v>
      </c>
      <c r="BT72" s="77">
        <v>3.9729123249999998</v>
      </c>
      <c r="BU72" s="68">
        <v>0.64792434300000001</v>
      </c>
      <c r="BV72" s="77">
        <v>0.102651493</v>
      </c>
      <c r="BW72" s="77">
        <v>3.7512447419999999</v>
      </c>
      <c r="BX72" s="77">
        <v>5.8453816639999996</v>
      </c>
      <c r="BY72" s="77">
        <v>3.6103987059999998</v>
      </c>
      <c r="BZ72" s="77">
        <v>0.75663531100000003</v>
      </c>
      <c r="CA72" s="26" t="s">
        <v>220</v>
      </c>
      <c r="CB72" s="77" t="s">
        <v>220</v>
      </c>
      <c r="CC72" s="77" t="s">
        <v>220</v>
      </c>
      <c r="CD72" s="77" t="s">
        <v>220</v>
      </c>
      <c r="CE72" s="68" t="s">
        <v>220</v>
      </c>
    </row>
    <row r="73" spans="1:83" ht="14.4" customHeight="1" x14ac:dyDescent="0.3">
      <c r="A73" s="86" t="s">
        <v>369</v>
      </c>
      <c r="B73" s="86" t="s">
        <v>448</v>
      </c>
      <c r="C73" s="147" t="s">
        <v>451</v>
      </c>
      <c r="D73" s="147" t="s">
        <v>452</v>
      </c>
      <c r="E73" s="183" t="s">
        <v>186</v>
      </c>
      <c r="F73" s="157" t="s">
        <v>728</v>
      </c>
      <c r="G73" s="158" t="s">
        <v>335</v>
      </c>
      <c r="I73" s="159"/>
      <c r="J73" s="159" t="s">
        <v>188</v>
      </c>
      <c r="K73" s="156" t="s">
        <v>188</v>
      </c>
      <c r="L73" s="303"/>
      <c r="M73" s="303"/>
      <c r="N73" s="303"/>
      <c r="O73" s="303"/>
      <c r="P73" s="182"/>
      <c r="Q73" s="69"/>
      <c r="R73" s="86"/>
      <c r="S73" s="86"/>
      <c r="T73" s="86"/>
      <c r="U73" s="86"/>
      <c r="V73" s="86"/>
      <c r="AI73" s="61">
        <v>65.479818650511476</v>
      </c>
      <c r="AJ73" s="61">
        <v>20.258366683253264</v>
      </c>
      <c r="AK73" s="61">
        <v>14.261814666235262</v>
      </c>
      <c r="AL73" s="27">
        <v>34.520181349488524</v>
      </c>
      <c r="AM73" s="86"/>
      <c r="AN73" s="86"/>
      <c r="AO73" s="86"/>
      <c r="AP73" s="86"/>
      <c r="AQ73" s="86"/>
      <c r="AR73" s="86"/>
      <c r="BE73" s="59">
        <v>72.179618048975072</v>
      </c>
      <c r="BF73" s="59">
        <v>13.558567284789655</v>
      </c>
      <c r="BG73" s="59">
        <v>14.261814666235262</v>
      </c>
      <c r="BH73" s="60">
        <v>27.820381951024917</v>
      </c>
      <c r="BI73" s="215" t="s">
        <v>356</v>
      </c>
      <c r="BK73" s="455">
        <v>0.28520738200000001</v>
      </c>
      <c r="BL73" s="456">
        <v>6.6806910759999996</v>
      </c>
      <c r="BM73" s="456">
        <v>13.51989725</v>
      </c>
      <c r="BN73" s="456">
        <v>10.297510470000001</v>
      </c>
      <c r="BO73" s="456">
        <v>3.9236284480000001</v>
      </c>
      <c r="BP73" s="165">
        <f t="shared" si="2"/>
        <v>99.714792618000004</v>
      </c>
      <c r="BQ73" s="26">
        <v>0.45974694199999999</v>
      </c>
      <c r="BR73" s="77">
        <v>4.0752688619999997</v>
      </c>
      <c r="BS73" s="77">
        <v>8.1119020590000002</v>
      </c>
      <c r="BT73" s="77">
        <v>6.0621627</v>
      </c>
      <c r="BU73" s="68">
        <v>2.194991946</v>
      </c>
      <c r="BV73" s="77">
        <v>0.59021319400000005</v>
      </c>
      <c r="BW73" s="77">
        <v>5.4820800070000004</v>
      </c>
      <c r="BX73" s="77">
        <v>10.94247356</v>
      </c>
      <c r="BY73" s="77">
        <v>8.0888153710000008</v>
      </c>
      <c r="BZ73" s="77">
        <v>2.7948579200000001</v>
      </c>
      <c r="CA73" s="26" t="s">
        <v>220</v>
      </c>
      <c r="CB73" s="77" t="s">
        <v>220</v>
      </c>
      <c r="CC73" s="77" t="s">
        <v>220</v>
      </c>
      <c r="CD73" s="77" t="s">
        <v>220</v>
      </c>
      <c r="CE73" s="68" t="s">
        <v>220</v>
      </c>
    </row>
    <row r="74" spans="1:83" ht="14.4" customHeight="1" x14ac:dyDescent="0.3">
      <c r="A74" s="86" t="s">
        <v>369</v>
      </c>
      <c r="B74" s="86" t="s">
        <v>448</v>
      </c>
      <c r="C74" s="147" t="s">
        <v>449</v>
      </c>
      <c r="D74" s="147" t="s">
        <v>450</v>
      </c>
      <c r="E74" s="181" t="s">
        <v>186</v>
      </c>
      <c r="F74" s="157" t="s">
        <v>728</v>
      </c>
      <c r="G74" s="158" t="s">
        <v>335</v>
      </c>
      <c r="I74" s="159"/>
      <c r="J74" s="159" t="s">
        <v>188</v>
      </c>
      <c r="K74" s="156" t="s">
        <v>188</v>
      </c>
      <c r="L74" s="303"/>
      <c r="M74" s="303"/>
      <c r="N74" s="303"/>
      <c r="O74" s="303"/>
      <c r="P74" s="182"/>
      <c r="Q74" s="69"/>
      <c r="R74" s="86"/>
      <c r="S74" s="86"/>
      <c r="T74" s="86"/>
      <c r="U74" s="86"/>
      <c r="V74" s="86"/>
      <c r="AI74" s="61">
        <v>54.183258440196944</v>
      </c>
      <c r="AJ74" s="61">
        <v>26.990008056445593</v>
      </c>
      <c r="AK74" s="61">
        <v>18.826733503357467</v>
      </c>
      <c r="AL74" s="27">
        <v>45.816741559803063</v>
      </c>
      <c r="AM74" s="86"/>
      <c r="AN74" s="86"/>
      <c r="AO74" s="86"/>
      <c r="AP74" s="86"/>
      <c r="AQ74" s="86"/>
      <c r="AR74" s="86"/>
      <c r="BE74" s="59">
        <v>63.535212897247554</v>
      </c>
      <c r="BF74" s="59">
        <v>17.638053599394979</v>
      </c>
      <c r="BG74" s="59">
        <v>18.826733503357467</v>
      </c>
      <c r="BH74" s="60">
        <v>36.464787102752446</v>
      </c>
      <c r="BI74" s="215" t="s">
        <v>356</v>
      </c>
      <c r="BK74" s="455">
        <v>0.36047525899999999</v>
      </c>
      <c r="BL74" s="456">
        <v>9.3182429750000004</v>
      </c>
      <c r="BM74" s="456">
        <v>17.574472780000001</v>
      </c>
      <c r="BN74" s="456">
        <v>13.54993438</v>
      </c>
      <c r="BO74" s="456">
        <v>5.208933407</v>
      </c>
      <c r="BP74" s="165">
        <f t="shared" si="2"/>
        <v>99.639524741000002</v>
      </c>
      <c r="BQ74" s="26">
        <v>0.68206011099999997</v>
      </c>
      <c r="BR74" s="77">
        <v>6.8282400829999998</v>
      </c>
      <c r="BS74" s="77">
        <v>12.82149078</v>
      </c>
      <c r="BT74" s="77">
        <v>9.7341098860000006</v>
      </c>
      <c r="BU74" s="68">
        <v>3.5626886839999998</v>
      </c>
      <c r="BV74" s="77">
        <v>0.88782712100000005</v>
      </c>
      <c r="BW74" s="77">
        <v>8.715013506</v>
      </c>
      <c r="BX74" s="77">
        <v>16.12414218</v>
      </c>
      <c r="BY74" s="77">
        <v>12.492430199999999</v>
      </c>
      <c r="BZ74" s="77">
        <v>5.5646169939999997</v>
      </c>
      <c r="CA74" s="26" t="s">
        <v>220</v>
      </c>
      <c r="CB74" s="77" t="s">
        <v>220</v>
      </c>
      <c r="CC74" s="77" t="s">
        <v>220</v>
      </c>
      <c r="CD74" s="77" t="s">
        <v>220</v>
      </c>
      <c r="CE74" s="68" t="s">
        <v>220</v>
      </c>
    </row>
    <row r="76" spans="1:83" x14ac:dyDescent="0.3">
      <c r="H76" s="155"/>
      <c r="I76" s="155"/>
      <c r="J76" s="155"/>
      <c r="K76" s="155"/>
      <c r="L76" s="305"/>
      <c r="M76" s="305"/>
      <c r="N76" s="305"/>
      <c r="O76" s="305"/>
    </row>
    <row r="77" spans="1:83" x14ac:dyDescent="0.3">
      <c r="H77" s="155"/>
      <c r="I77" s="155"/>
      <c r="J77" s="155"/>
      <c r="K77" s="155"/>
      <c r="L77" s="305"/>
      <c r="M77" s="305"/>
      <c r="N77" s="305"/>
      <c r="O77" s="305"/>
      <c r="P77" s="185"/>
      <c r="AI77" s="77"/>
      <c r="AJ77" s="77"/>
      <c r="AK77" s="77"/>
      <c r="AL77" s="68"/>
      <c r="BE77" s="77"/>
      <c r="BF77" s="77"/>
      <c r="BG77" s="77"/>
      <c r="BH77" s="77"/>
    </row>
    <row r="78" spans="1:83" x14ac:dyDescent="0.3">
      <c r="H78" s="155"/>
      <c r="I78" s="155"/>
      <c r="J78" s="155"/>
      <c r="K78" s="155"/>
      <c r="L78" s="305"/>
      <c r="M78" s="305"/>
      <c r="N78" s="305"/>
      <c r="O78" s="305"/>
      <c r="P78" s="185"/>
      <c r="AI78" s="77"/>
      <c r="AJ78" s="77"/>
      <c r="AK78" s="77"/>
      <c r="AL78" s="68"/>
      <c r="BE78" s="77"/>
      <c r="BF78" s="77"/>
      <c r="BG78" s="77"/>
      <c r="BH78" s="77"/>
    </row>
    <row r="79" spans="1:83" x14ac:dyDescent="0.3">
      <c r="H79" s="155"/>
      <c r="I79" s="155"/>
      <c r="J79" s="155"/>
      <c r="K79" s="155"/>
      <c r="L79" s="305"/>
      <c r="M79" s="305"/>
      <c r="N79" s="305"/>
      <c r="O79" s="305"/>
      <c r="P79" s="185"/>
      <c r="AI79" s="77"/>
      <c r="AJ79" s="77"/>
      <c r="AK79" s="77"/>
      <c r="AL79" s="68"/>
      <c r="BE79" s="77"/>
      <c r="BF79" s="77"/>
      <c r="BG79" s="77"/>
      <c r="BH79" s="77"/>
    </row>
    <row r="80" spans="1:83" x14ac:dyDescent="0.3">
      <c r="H80" s="155"/>
      <c r="I80" s="155"/>
      <c r="J80" s="155"/>
      <c r="K80" s="155"/>
      <c r="L80" s="305"/>
      <c r="M80" s="305"/>
      <c r="N80" s="305"/>
      <c r="O80" s="305"/>
      <c r="P80" s="185"/>
      <c r="AI80" s="77"/>
      <c r="AJ80" s="77"/>
      <c r="AK80" s="77"/>
      <c r="AL80" s="68"/>
      <c r="BE80" s="77"/>
      <c r="BF80" s="77"/>
      <c r="BG80" s="77"/>
      <c r="BH80" s="77"/>
    </row>
    <row r="81" spans="8:15" x14ac:dyDescent="0.3">
      <c r="H81" s="155"/>
      <c r="I81" s="155"/>
      <c r="J81" s="155"/>
      <c r="K81" s="155"/>
      <c r="L81" s="305"/>
      <c r="M81" s="305"/>
      <c r="N81" s="305"/>
      <c r="O81" s="305"/>
    </row>
    <row r="82" spans="8:15" x14ac:dyDescent="0.3">
      <c r="H82" s="155"/>
      <c r="I82" s="155"/>
      <c r="J82" s="155"/>
      <c r="K82" s="155"/>
      <c r="L82" s="305"/>
      <c r="M82" s="305"/>
      <c r="N82" s="305"/>
      <c r="O82" s="305"/>
    </row>
    <row r="83" spans="8:15" x14ac:dyDescent="0.3">
      <c r="H83" s="155"/>
      <c r="I83" s="155"/>
      <c r="J83" s="155"/>
      <c r="K83" s="155"/>
      <c r="L83" s="305"/>
      <c r="M83" s="305"/>
      <c r="N83" s="305"/>
      <c r="O83" s="305"/>
    </row>
    <row r="84" spans="8:15" x14ac:dyDescent="0.3">
      <c r="H84" s="155"/>
      <c r="I84" s="155"/>
      <c r="J84" s="155"/>
      <c r="K84" s="155"/>
      <c r="L84" s="305"/>
      <c r="M84" s="305"/>
      <c r="N84" s="305"/>
      <c r="O84" s="305"/>
    </row>
    <row r="85" spans="8:15" x14ac:dyDescent="0.3">
      <c r="H85" s="155"/>
      <c r="I85" s="155"/>
      <c r="J85" s="155"/>
      <c r="K85" s="155"/>
      <c r="L85" s="305"/>
      <c r="M85" s="305"/>
      <c r="N85" s="305"/>
      <c r="O85" s="305"/>
    </row>
    <row r="86" spans="8:15" x14ac:dyDescent="0.3">
      <c r="H86" s="155"/>
      <c r="I86" s="155"/>
      <c r="J86" s="155"/>
      <c r="K86" s="155"/>
      <c r="L86" s="305"/>
      <c r="M86" s="305"/>
      <c r="N86" s="305"/>
      <c r="O86" s="305"/>
    </row>
    <row r="87" spans="8:15" x14ac:dyDescent="0.3">
      <c r="H87" s="155"/>
      <c r="I87" s="155"/>
      <c r="J87" s="155"/>
      <c r="K87" s="155"/>
      <c r="L87" s="305"/>
      <c r="M87" s="305"/>
      <c r="N87" s="305"/>
      <c r="O87" s="305"/>
    </row>
    <row r="88" spans="8:15" x14ac:dyDescent="0.3">
      <c r="H88" s="155"/>
      <c r="I88" s="155"/>
      <c r="J88" s="155"/>
      <c r="K88" s="155"/>
      <c r="L88" s="305"/>
      <c r="M88" s="305"/>
      <c r="N88" s="305"/>
      <c r="O88" s="305"/>
    </row>
    <row r="89" spans="8:15" x14ac:dyDescent="0.3">
      <c r="H89" s="155"/>
      <c r="I89" s="155"/>
      <c r="J89" s="155"/>
      <c r="K89" s="155"/>
      <c r="L89" s="305"/>
      <c r="M89" s="305"/>
      <c r="N89" s="305"/>
      <c r="O89" s="305"/>
    </row>
    <row r="90" spans="8:15" x14ac:dyDescent="0.3">
      <c r="H90" s="155"/>
      <c r="I90" s="155"/>
      <c r="J90" s="155"/>
      <c r="K90" s="155"/>
      <c r="L90" s="305"/>
      <c r="M90" s="305"/>
      <c r="N90" s="305"/>
      <c r="O90" s="305"/>
    </row>
    <row r="91" spans="8:15" x14ac:dyDescent="0.3">
      <c r="H91" s="155"/>
      <c r="I91" s="155"/>
      <c r="J91" s="155"/>
      <c r="K91" s="155"/>
      <c r="L91" s="305"/>
      <c r="M91" s="305"/>
      <c r="N91" s="305"/>
      <c r="O91" s="305"/>
    </row>
    <row r="92" spans="8:15" x14ac:dyDescent="0.3">
      <c r="H92" s="155"/>
      <c r="I92" s="155"/>
      <c r="J92" s="155"/>
      <c r="K92" s="155"/>
      <c r="L92" s="305"/>
      <c r="M92" s="305"/>
      <c r="N92" s="305"/>
      <c r="O92" s="305"/>
    </row>
    <row r="93" spans="8:15" x14ac:dyDescent="0.3">
      <c r="H93" s="155"/>
      <c r="I93" s="155"/>
      <c r="J93" s="155"/>
      <c r="K93" s="155"/>
      <c r="L93" s="305"/>
      <c r="M93" s="305"/>
      <c r="N93" s="305"/>
      <c r="O93" s="305"/>
    </row>
    <row r="94" spans="8:15" x14ac:dyDescent="0.3">
      <c r="H94" s="155"/>
      <c r="I94" s="155"/>
      <c r="J94" s="155"/>
      <c r="K94" s="155"/>
      <c r="L94" s="305"/>
      <c r="M94" s="305"/>
      <c r="N94" s="305"/>
      <c r="O94" s="305"/>
    </row>
    <row r="95" spans="8:15" x14ac:dyDescent="0.3">
      <c r="H95" s="155"/>
      <c r="I95" s="155"/>
      <c r="J95" s="155"/>
      <c r="K95" s="155"/>
      <c r="L95" s="305"/>
      <c r="M95" s="305"/>
      <c r="N95" s="305"/>
      <c r="O95" s="305"/>
    </row>
    <row r="96" spans="8:15" x14ac:dyDescent="0.3">
      <c r="H96" s="155"/>
      <c r="I96" s="155"/>
      <c r="J96" s="155"/>
      <c r="K96" s="155"/>
      <c r="L96" s="305"/>
      <c r="M96" s="305"/>
      <c r="N96" s="305"/>
      <c r="O96" s="305"/>
    </row>
    <row r="97" spans="8:15" x14ac:dyDescent="0.3">
      <c r="H97" s="155"/>
      <c r="I97" s="155"/>
      <c r="J97" s="155"/>
      <c r="K97" s="155"/>
      <c r="L97" s="305"/>
      <c r="M97" s="305"/>
      <c r="N97" s="305"/>
      <c r="O97" s="305"/>
    </row>
    <row r="98" spans="8:15" x14ac:dyDescent="0.3">
      <c r="H98" s="155"/>
      <c r="I98" s="155"/>
      <c r="J98" s="155"/>
      <c r="K98" s="155"/>
      <c r="L98" s="305"/>
      <c r="M98" s="305"/>
      <c r="N98" s="305"/>
      <c r="O98" s="305"/>
    </row>
    <row r="99" spans="8:15" x14ac:dyDescent="0.3">
      <c r="H99" s="155"/>
      <c r="I99" s="155"/>
      <c r="J99" s="155"/>
      <c r="K99" s="155"/>
      <c r="L99" s="305"/>
      <c r="M99" s="305"/>
      <c r="N99" s="305"/>
      <c r="O99" s="305"/>
    </row>
    <row r="100" spans="8:15" x14ac:dyDescent="0.3">
      <c r="H100" s="155"/>
      <c r="I100" s="155"/>
      <c r="J100" s="155"/>
      <c r="K100" s="155"/>
      <c r="L100" s="305"/>
      <c r="M100" s="305"/>
      <c r="N100" s="305"/>
      <c r="O100" s="305"/>
    </row>
    <row r="101" spans="8:15" x14ac:dyDescent="0.3">
      <c r="H101" s="155"/>
      <c r="I101" s="155"/>
      <c r="J101" s="155"/>
      <c r="K101" s="155"/>
      <c r="L101" s="305"/>
      <c r="M101" s="305"/>
      <c r="N101" s="305"/>
      <c r="O101" s="305"/>
    </row>
    <row r="102" spans="8:15" x14ac:dyDescent="0.3">
      <c r="H102" s="155"/>
      <c r="I102" s="155"/>
      <c r="J102" s="155"/>
      <c r="K102" s="155"/>
      <c r="L102" s="305"/>
      <c r="M102" s="305"/>
      <c r="N102" s="305"/>
      <c r="O102" s="305"/>
    </row>
    <row r="103" spans="8:15" x14ac:dyDescent="0.3">
      <c r="H103" s="155"/>
      <c r="I103" s="155"/>
      <c r="J103" s="155"/>
      <c r="K103" s="155"/>
      <c r="L103" s="305"/>
      <c r="M103" s="305"/>
      <c r="N103" s="305"/>
      <c r="O103" s="305"/>
    </row>
    <row r="104" spans="8:15" x14ac:dyDescent="0.3">
      <c r="H104" s="155"/>
      <c r="I104" s="155"/>
      <c r="J104" s="155"/>
      <c r="K104" s="155"/>
      <c r="L104" s="305"/>
      <c r="M104" s="305"/>
      <c r="N104" s="305"/>
      <c r="O104" s="305"/>
    </row>
    <row r="105" spans="8:15" x14ac:dyDescent="0.3">
      <c r="H105" s="155"/>
      <c r="I105" s="155"/>
      <c r="J105" s="155"/>
      <c r="K105" s="155"/>
      <c r="L105" s="305"/>
      <c r="M105" s="305"/>
      <c r="N105" s="305"/>
      <c r="O105" s="305"/>
    </row>
    <row r="106" spans="8:15" x14ac:dyDescent="0.3">
      <c r="H106" s="155"/>
      <c r="I106" s="155"/>
      <c r="J106" s="155"/>
      <c r="K106" s="155"/>
      <c r="L106" s="305"/>
      <c r="M106" s="305"/>
      <c r="N106" s="305"/>
      <c r="O106" s="305"/>
    </row>
    <row r="107" spans="8:15" x14ac:dyDescent="0.3">
      <c r="H107" s="155"/>
      <c r="I107" s="155"/>
      <c r="J107" s="155"/>
      <c r="K107" s="155"/>
      <c r="L107" s="305"/>
      <c r="M107" s="305"/>
      <c r="N107" s="305"/>
      <c r="O107" s="305"/>
    </row>
    <row r="108" spans="8:15" x14ac:dyDescent="0.3">
      <c r="H108" s="155"/>
      <c r="I108" s="155"/>
      <c r="J108" s="155"/>
      <c r="K108" s="155"/>
      <c r="L108" s="305"/>
      <c r="M108" s="305"/>
      <c r="N108" s="305"/>
      <c r="O108" s="305"/>
    </row>
    <row r="109" spans="8:15" x14ac:dyDescent="0.3">
      <c r="H109" s="155"/>
      <c r="I109" s="155"/>
      <c r="J109" s="155"/>
      <c r="K109" s="155"/>
      <c r="L109" s="305"/>
      <c r="M109" s="305"/>
      <c r="N109" s="305"/>
      <c r="O109" s="305"/>
    </row>
    <row r="110" spans="8:15" x14ac:dyDescent="0.3">
      <c r="H110" s="155"/>
      <c r="I110" s="155"/>
      <c r="J110" s="155"/>
      <c r="K110" s="155"/>
      <c r="L110" s="305"/>
      <c r="M110" s="305"/>
      <c r="N110" s="305"/>
      <c r="O110" s="305"/>
    </row>
    <row r="111" spans="8:15" x14ac:dyDescent="0.3">
      <c r="H111" s="155"/>
      <c r="I111" s="155"/>
      <c r="J111" s="155"/>
      <c r="K111" s="155"/>
      <c r="L111" s="305"/>
      <c r="M111" s="305"/>
      <c r="N111" s="305"/>
      <c r="O111" s="305"/>
    </row>
    <row r="112" spans="8:15" x14ac:dyDescent="0.3">
      <c r="H112" s="155"/>
      <c r="I112" s="155"/>
      <c r="J112" s="155"/>
      <c r="K112" s="155"/>
      <c r="L112" s="305"/>
      <c r="M112" s="305"/>
      <c r="N112" s="305"/>
      <c r="O112" s="305"/>
    </row>
    <row r="113" spans="8:15" x14ac:dyDescent="0.3">
      <c r="H113" s="155"/>
      <c r="I113" s="155"/>
      <c r="J113" s="155"/>
      <c r="K113" s="155"/>
      <c r="L113" s="305"/>
      <c r="M113" s="305"/>
      <c r="N113" s="305"/>
      <c r="O113" s="305"/>
    </row>
    <row r="114" spans="8:15" x14ac:dyDescent="0.3">
      <c r="H114" s="155"/>
      <c r="I114" s="155"/>
      <c r="J114" s="155"/>
      <c r="K114" s="155"/>
      <c r="L114" s="305"/>
      <c r="M114" s="305"/>
      <c r="N114" s="305"/>
      <c r="O114" s="305"/>
    </row>
    <row r="115" spans="8:15" x14ac:dyDescent="0.3">
      <c r="H115" s="155"/>
      <c r="I115" s="155"/>
      <c r="J115" s="155"/>
      <c r="K115" s="155"/>
      <c r="L115" s="305"/>
      <c r="M115" s="305"/>
      <c r="N115" s="305"/>
      <c r="O115" s="305"/>
    </row>
    <row r="116" spans="8:15" x14ac:dyDescent="0.3">
      <c r="H116" s="155"/>
      <c r="I116" s="155"/>
      <c r="J116" s="155"/>
      <c r="K116" s="155"/>
      <c r="L116" s="305"/>
      <c r="M116" s="305"/>
      <c r="N116" s="305"/>
      <c r="O116" s="305"/>
    </row>
    <row r="117" spans="8:15" x14ac:dyDescent="0.3">
      <c r="H117" s="155"/>
      <c r="I117" s="155"/>
      <c r="J117" s="155"/>
      <c r="K117" s="155"/>
      <c r="L117" s="305"/>
      <c r="M117" s="305"/>
      <c r="N117" s="305"/>
      <c r="O117" s="305"/>
    </row>
    <row r="118" spans="8:15" x14ac:dyDescent="0.3">
      <c r="H118" s="155"/>
      <c r="I118" s="155"/>
      <c r="J118" s="155"/>
      <c r="K118" s="155"/>
      <c r="L118" s="305"/>
      <c r="M118" s="305"/>
      <c r="N118" s="305"/>
      <c r="O118" s="305"/>
    </row>
    <row r="119" spans="8:15" x14ac:dyDescent="0.3">
      <c r="H119" s="155"/>
      <c r="I119" s="155"/>
      <c r="J119" s="155"/>
      <c r="K119" s="155"/>
      <c r="L119" s="305"/>
      <c r="M119" s="305"/>
      <c r="N119" s="305"/>
      <c r="O119" s="305"/>
    </row>
    <row r="120" spans="8:15" x14ac:dyDescent="0.3">
      <c r="H120" s="155"/>
      <c r="I120" s="155"/>
      <c r="J120" s="155"/>
      <c r="K120" s="155"/>
      <c r="L120" s="305"/>
      <c r="M120" s="305"/>
      <c r="N120" s="305"/>
      <c r="O120" s="305"/>
    </row>
    <row r="121" spans="8:15" x14ac:dyDescent="0.3">
      <c r="H121" s="155"/>
      <c r="I121" s="155"/>
      <c r="J121" s="155"/>
      <c r="K121" s="155"/>
      <c r="L121" s="305"/>
      <c r="M121" s="305"/>
      <c r="N121" s="305"/>
      <c r="O121" s="305"/>
    </row>
    <row r="122" spans="8:15" x14ac:dyDescent="0.3">
      <c r="H122" s="155"/>
      <c r="I122" s="155"/>
      <c r="J122" s="155"/>
      <c r="K122" s="155"/>
      <c r="L122" s="305"/>
      <c r="M122" s="305"/>
      <c r="N122" s="305"/>
      <c r="O122" s="305"/>
    </row>
    <row r="123" spans="8:15" x14ac:dyDescent="0.3">
      <c r="H123" s="155"/>
      <c r="I123" s="155"/>
      <c r="J123" s="155"/>
      <c r="K123" s="155"/>
      <c r="L123" s="305"/>
      <c r="M123" s="305"/>
      <c r="N123" s="305"/>
      <c r="O123" s="305"/>
    </row>
    <row r="124" spans="8:15" x14ac:dyDescent="0.3">
      <c r="H124" s="155"/>
      <c r="I124" s="155"/>
      <c r="J124" s="155"/>
      <c r="K124" s="155"/>
      <c r="L124" s="305"/>
      <c r="M124" s="305"/>
      <c r="N124" s="305"/>
      <c r="O124" s="305"/>
    </row>
    <row r="125" spans="8:15" x14ac:dyDescent="0.3">
      <c r="H125" s="155"/>
      <c r="I125" s="155"/>
      <c r="J125" s="155"/>
      <c r="K125" s="155"/>
      <c r="L125" s="305"/>
      <c r="M125" s="305"/>
      <c r="N125" s="305"/>
      <c r="O125" s="305"/>
    </row>
    <row r="126" spans="8:15" x14ac:dyDescent="0.3">
      <c r="H126" s="155"/>
      <c r="I126" s="155"/>
      <c r="J126" s="155"/>
      <c r="K126" s="155"/>
      <c r="L126" s="305"/>
      <c r="M126" s="305"/>
      <c r="N126" s="305"/>
      <c r="O126" s="305"/>
    </row>
    <row r="127" spans="8:15" x14ac:dyDescent="0.3">
      <c r="H127" s="155"/>
      <c r="I127" s="155"/>
      <c r="J127" s="155"/>
      <c r="K127" s="155"/>
      <c r="L127" s="305"/>
      <c r="M127" s="305"/>
      <c r="N127" s="305"/>
      <c r="O127" s="305"/>
    </row>
    <row r="128" spans="8:15" x14ac:dyDescent="0.3">
      <c r="H128" s="155"/>
      <c r="I128" s="155"/>
      <c r="J128" s="155"/>
      <c r="K128" s="155"/>
      <c r="L128" s="305"/>
      <c r="M128" s="305"/>
      <c r="N128" s="305"/>
      <c r="O128" s="305"/>
    </row>
    <row r="129" spans="8:15" x14ac:dyDescent="0.3">
      <c r="H129" s="155"/>
      <c r="I129" s="155"/>
      <c r="J129" s="155"/>
      <c r="K129" s="155"/>
      <c r="L129" s="305"/>
      <c r="M129" s="305"/>
      <c r="N129" s="305"/>
      <c r="O129" s="305"/>
    </row>
    <row r="130" spans="8:15" x14ac:dyDescent="0.3">
      <c r="H130" s="155"/>
      <c r="I130" s="155"/>
      <c r="J130" s="155"/>
      <c r="K130" s="155"/>
      <c r="L130" s="305"/>
      <c r="M130" s="305"/>
      <c r="N130" s="305"/>
      <c r="O130" s="305"/>
    </row>
    <row r="131" spans="8:15" x14ac:dyDescent="0.3">
      <c r="H131" s="155"/>
      <c r="I131" s="155"/>
      <c r="J131" s="155"/>
      <c r="K131" s="155"/>
      <c r="L131" s="305"/>
      <c r="M131" s="305"/>
      <c r="N131" s="305"/>
      <c r="O131" s="305"/>
    </row>
    <row r="132" spans="8:15" x14ac:dyDescent="0.3">
      <c r="H132" s="155"/>
      <c r="I132" s="155"/>
      <c r="J132" s="155"/>
      <c r="K132" s="155"/>
      <c r="L132" s="305"/>
      <c r="M132" s="305"/>
      <c r="N132" s="305"/>
      <c r="O132" s="305"/>
    </row>
    <row r="133" spans="8:15" x14ac:dyDescent="0.3">
      <c r="H133" s="155"/>
      <c r="I133" s="155"/>
      <c r="J133" s="155"/>
      <c r="K133" s="155"/>
      <c r="L133" s="305"/>
      <c r="M133" s="305"/>
      <c r="N133" s="305"/>
      <c r="O133" s="305"/>
    </row>
    <row r="134" spans="8:15" x14ac:dyDescent="0.3">
      <c r="H134" s="155"/>
      <c r="I134" s="155"/>
      <c r="J134" s="155"/>
      <c r="K134" s="155"/>
      <c r="L134" s="305"/>
      <c r="M134" s="305"/>
      <c r="N134" s="305"/>
      <c r="O134" s="305"/>
    </row>
    <row r="135" spans="8:15" x14ac:dyDescent="0.3">
      <c r="H135" s="155"/>
      <c r="I135" s="155"/>
      <c r="J135" s="155"/>
      <c r="K135" s="155"/>
      <c r="L135" s="305"/>
      <c r="M135" s="305"/>
      <c r="N135" s="305"/>
      <c r="O135" s="305"/>
    </row>
    <row r="136" spans="8:15" x14ac:dyDescent="0.3">
      <c r="H136" s="155"/>
      <c r="I136" s="155"/>
      <c r="J136" s="155"/>
      <c r="K136" s="155"/>
      <c r="L136" s="305"/>
      <c r="M136" s="305"/>
      <c r="N136" s="305"/>
      <c r="O136" s="305"/>
    </row>
    <row r="137" spans="8:15" x14ac:dyDescent="0.3">
      <c r="H137" s="155"/>
      <c r="I137" s="155"/>
      <c r="J137" s="155"/>
      <c r="K137" s="155"/>
      <c r="L137" s="305"/>
      <c r="M137" s="305"/>
      <c r="N137" s="305"/>
      <c r="O137" s="305"/>
    </row>
    <row r="138" spans="8:15" x14ac:dyDescent="0.3">
      <c r="H138" s="155"/>
      <c r="I138" s="155"/>
      <c r="J138" s="155"/>
      <c r="K138" s="155"/>
      <c r="L138" s="305"/>
      <c r="M138" s="305"/>
      <c r="N138" s="305"/>
      <c r="O138" s="305"/>
    </row>
    <row r="139" spans="8:15" x14ac:dyDescent="0.3">
      <c r="H139" s="155"/>
      <c r="I139" s="155"/>
      <c r="J139" s="155"/>
      <c r="K139" s="155"/>
      <c r="L139" s="305"/>
      <c r="M139" s="305"/>
      <c r="N139" s="305"/>
      <c r="O139" s="305"/>
    </row>
    <row r="140" spans="8:15" x14ac:dyDescent="0.3">
      <c r="H140" s="155"/>
      <c r="I140" s="155"/>
      <c r="J140" s="155"/>
      <c r="K140" s="155"/>
      <c r="L140" s="305"/>
      <c r="M140" s="305"/>
      <c r="N140" s="305"/>
      <c r="O140" s="305"/>
    </row>
    <row r="141" spans="8:15" x14ac:dyDescent="0.3">
      <c r="H141" s="155"/>
      <c r="I141" s="155"/>
      <c r="J141" s="155"/>
      <c r="K141" s="155"/>
      <c r="L141" s="305"/>
      <c r="M141" s="305"/>
      <c r="N141" s="305"/>
      <c r="O141" s="305"/>
    </row>
    <row r="142" spans="8:15" x14ac:dyDescent="0.3">
      <c r="H142" s="155"/>
      <c r="I142" s="155"/>
      <c r="J142" s="155"/>
      <c r="K142" s="155"/>
      <c r="L142" s="305"/>
      <c r="M142" s="305"/>
      <c r="N142" s="305"/>
      <c r="O142" s="305"/>
    </row>
    <row r="143" spans="8:15" x14ac:dyDescent="0.3">
      <c r="H143" s="155"/>
      <c r="I143" s="155"/>
      <c r="J143" s="155"/>
      <c r="K143" s="155"/>
      <c r="L143" s="305"/>
      <c r="M143" s="305"/>
      <c r="N143" s="305"/>
      <c r="O143" s="305"/>
    </row>
    <row r="144" spans="8:15" x14ac:dyDescent="0.3">
      <c r="H144" s="155"/>
      <c r="I144" s="155"/>
      <c r="J144" s="155"/>
      <c r="K144" s="155"/>
      <c r="L144" s="305"/>
      <c r="M144" s="305"/>
      <c r="N144" s="305"/>
      <c r="O144" s="305"/>
    </row>
    <row r="145" spans="8:15" x14ac:dyDescent="0.3">
      <c r="H145" s="155"/>
      <c r="I145" s="155"/>
      <c r="J145" s="155"/>
      <c r="K145" s="155"/>
      <c r="L145" s="305"/>
      <c r="M145" s="305"/>
      <c r="N145" s="305"/>
      <c r="O145" s="305"/>
    </row>
    <row r="146" spans="8:15" x14ac:dyDescent="0.3">
      <c r="H146" s="155"/>
      <c r="I146" s="155"/>
      <c r="J146" s="155"/>
      <c r="K146" s="155"/>
      <c r="L146" s="305"/>
      <c r="M146" s="305"/>
      <c r="N146" s="305"/>
      <c r="O146" s="305"/>
    </row>
    <row r="147" spans="8:15" x14ac:dyDescent="0.3">
      <c r="H147" s="155"/>
      <c r="I147" s="155"/>
      <c r="J147" s="155"/>
      <c r="K147" s="155"/>
      <c r="L147" s="305"/>
      <c r="M147" s="305"/>
      <c r="N147" s="305"/>
      <c r="O147" s="305"/>
    </row>
    <row r="148" spans="8:15" x14ac:dyDescent="0.3">
      <c r="H148" s="155"/>
      <c r="I148" s="155"/>
      <c r="J148" s="155"/>
      <c r="K148" s="155"/>
      <c r="L148" s="305"/>
      <c r="M148" s="305"/>
      <c r="N148" s="305"/>
      <c r="O148" s="305"/>
    </row>
    <row r="149" spans="8:15" x14ac:dyDescent="0.3">
      <c r="H149" s="155"/>
      <c r="I149" s="155"/>
      <c r="J149" s="155"/>
      <c r="K149" s="155"/>
      <c r="L149" s="305"/>
      <c r="M149" s="305"/>
      <c r="N149" s="305"/>
      <c r="O149" s="305"/>
    </row>
    <row r="150" spans="8:15" x14ac:dyDescent="0.3">
      <c r="H150" s="155"/>
      <c r="I150" s="155"/>
      <c r="J150" s="155"/>
      <c r="K150" s="155"/>
      <c r="L150" s="305"/>
      <c r="M150" s="305"/>
      <c r="N150" s="305"/>
      <c r="O150" s="305"/>
    </row>
    <row r="151" spans="8:15" x14ac:dyDescent="0.3">
      <c r="H151" s="155"/>
      <c r="I151" s="155"/>
      <c r="J151" s="155"/>
      <c r="K151" s="155"/>
      <c r="L151" s="305"/>
      <c r="M151" s="305"/>
      <c r="N151" s="305"/>
      <c r="O151" s="305"/>
    </row>
    <row r="152" spans="8:15" x14ac:dyDescent="0.3">
      <c r="H152" s="155"/>
      <c r="I152" s="155"/>
      <c r="J152" s="155"/>
      <c r="K152" s="155"/>
      <c r="L152" s="305"/>
      <c r="M152" s="305"/>
      <c r="N152" s="305"/>
      <c r="O152" s="305"/>
    </row>
    <row r="153" spans="8:15" x14ac:dyDescent="0.3">
      <c r="H153" s="155"/>
      <c r="I153" s="155"/>
      <c r="J153" s="155"/>
      <c r="K153" s="155"/>
      <c r="L153" s="305"/>
      <c r="M153" s="305"/>
      <c r="N153" s="305"/>
      <c r="O153" s="305"/>
    </row>
    <row r="154" spans="8:15" x14ac:dyDescent="0.3">
      <c r="H154" s="155"/>
      <c r="I154" s="155"/>
      <c r="J154" s="155"/>
      <c r="K154" s="155"/>
      <c r="L154" s="305"/>
      <c r="M154" s="305"/>
      <c r="N154" s="305"/>
      <c r="O154" s="305"/>
    </row>
    <row r="155" spans="8:15" x14ac:dyDescent="0.3">
      <c r="H155" s="155"/>
      <c r="I155" s="155"/>
      <c r="J155" s="155"/>
      <c r="K155" s="155"/>
      <c r="L155" s="305"/>
      <c r="M155" s="305"/>
      <c r="N155" s="305"/>
      <c r="O155" s="305"/>
    </row>
    <row r="156" spans="8:15" x14ac:dyDescent="0.3">
      <c r="H156" s="155"/>
      <c r="I156" s="155"/>
      <c r="J156" s="155"/>
      <c r="K156" s="155"/>
      <c r="L156" s="305"/>
      <c r="M156" s="305"/>
      <c r="N156" s="305"/>
      <c r="O156" s="305"/>
    </row>
    <row r="157" spans="8:15" x14ac:dyDescent="0.3">
      <c r="H157" s="155"/>
      <c r="I157" s="155"/>
      <c r="J157" s="155"/>
      <c r="K157" s="155"/>
      <c r="L157" s="305"/>
      <c r="M157" s="305"/>
      <c r="N157" s="305"/>
      <c r="O157" s="305"/>
    </row>
    <row r="158" spans="8:15" x14ac:dyDescent="0.3">
      <c r="H158" s="155"/>
      <c r="I158" s="155"/>
      <c r="J158" s="155"/>
      <c r="K158" s="155"/>
      <c r="L158" s="305"/>
      <c r="M158" s="305"/>
      <c r="N158" s="305"/>
      <c r="O158" s="305"/>
    </row>
    <row r="159" spans="8:15" x14ac:dyDescent="0.3">
      <c r="H159" s="155"/>
      <c r="I159" s="155"/>
      <c r="J159" s="155"/>
      <c r="K159" s="155"/>
      <c r="L159" s="305"/>
      <c r="M159" s="305"/>
      <c r="N159" s="305"/>
      <c r="O159" s="305"/>
    </row>
    <row r="160" spans="8:15" x14ac:dyDescent="0.3">
      <c r="H160" s="155"/>
      <c r="I160" s="155"/>
      <c r="J160" s="155"/>
      <c r="K160" s="155"/>
      <c r="L160" s="305"/>
      <c r="M160" s="305"/>
      <c r="N160" s="305"/>
      <c r="O160" s="305"/>
    </row>
    <row r="161" spans="8:15" x14ac:dyDescent="0.3">
      <c r="H161" s="155"/>
      <c r="I161" s="155"/>
      <c r="J161" s="155"/>
      <c r="K161" s="155"/>
      <c r="L161" s="305"/>
      <c r="M161" s="305"/>
      <c r="N161" s="305"/>
      <c r="O161" s="305"/>
    </row>
    <row r="162" spans="8:15" x14ac:dyDescent="0.3">
      <c r="H162" s="155"/>
      <c r="I162" s="155"/>
      <c r="J162" s="155"/>
      <c r="K162" s="155"/>
      <c r="L162" s="305"/>
      <c r="M162" s="305"/>
      <c r="N162" s="305"/>
      <c r="O162" s="305"/>
    </row>
    <row r="163" spans="8:15" x14ac:dyDescent="0.3">
      <c r="H163" s="155"/>
      <c r="I163" s="155"/>
      <c r="J163" s="155"/>
      <c r="K163" s="155"/>
      <c r="L163" s="305"/>
      <c r="M163" s="305"/>
      <c r="N163" s="305"/>
      <c r="O163" s="305"/>
    </row>
    <row r="164" spans="8:15" x14ac:dyDescent="0.3">
      <c r="H164" s="155"/>
      <c r="I164" s="155"/>
      <c r="J164" s="155"/>
      <c r="K164" s="155"/>
      <c r="L164" s="305"/>
      <c r="M164" s="305"/>
      <c r="N164" s="305"/>
      <c r="O164" s="305"/>
    </row>
    <row r="165" spans="8:15" x14ac:dyDescent="0.3">
      <c r="H165" s="155"/>
      <c r="I165" s="155"/>
      <c r="J165" s="155"/>
      <c r="K165" s="155"/>
      <c r="L165" s="305"/>
      <c r="M165" s="305"/>
      <c r="N165" s="305"/>
      <c r="O165" s="305"/>
    </row>
    <row r="166" spans="8:15" x14ac:dyDescent="0.3">
      <c r="H166" s="155"/>
      <c r="I166" s="155"/>
      <c r="J166" s="155"/>
      <c r="K166" s="155"/>
      <c r="L166" s="305"/>
      <c r="M166" s="305"/>
      <c r="N166" s="305"/>
      <c r="O166" s="305"/>
    </row>
    <row r="167" spans="8:15" x14ac:dyDescent="0.3">
      <c r="H167" s="155"/>
      <c r="I167" s="155"/>
      <c r="J167" s="155"/>
      <c r="K167" s="155"/>
      <c r="L167" s="305"/>
      <c r="M167" s="305"/>
      <c r="N167" s="305"/>
      <c r="O167" s="305"/>
    </row>
    <row r="168" spans="8:15" x14ac:dyDescent="0.3">
      <c r="H168" s="155"/>
      <c r="I168" s="155"/>
      <c r="J168" s="155"/>
      <c r="K168" s="155"/>
      <c r="L168" s="305"/>
      <c r="M168" s="305"/>
      <c r="N168" s="305"/>
      <c r="O168" s="305"/>
    </row>
    <row r="169" spans="8:15" x14ac:dyDescent="0.3">
      <c r="H169" s="155"/>
      <c r="I169" s="155"/>
      <c r="J169" s="155"/>
      <c r="K169" s="155"/>
      <c r="L169" s="305"/>
      <c r="M169" s="305"/>
      <c r="N169" s="305"/>
      <c r="O169" s="305"/>
    </row>
    <row r="170" spans="8:15" x14ac:dyDescent="0.3">
      <c r="H170" s="155"/>
      <c r="I170" s="155"/>
      <c r="J170" s="155"/>
      <c r="K170" s="155"/>
      <c r="L170" s="305"/>
      <c r="M170" s="305"/>
      <c r="N170" s="305"/>
      <c r="O170" s="305"/>
    </row>
    <row r="171" spans="8:15" x14ac:dyDescent="0.3">
      <c r="H171" s="155"/>
      <c r="I171" s="155"/>
      <c r="J171" s="155"/>
      <c r="K171" s="155"/>
      <c r="L171" s="305"/>
      <c r="M171" s="305"/>
      <c r="N171" s="305"/>
      <c r="O171" s="305"/>
    </row>
    <row r="172" spans="8:15" x14ac:dyDescent="0.3">
      <c r="H172" s="155"/>
      <c r="I172" s="155"/>
      <c r="J172" s="155"/>
      <c r="K172" s="155"/>
      <c r="L172" s="305"/>
      <c r="M172" s="305"/>
      <c r="N172" s="305"/>
      <c r="O172" s="305"/>
    </row>
    <row r="173" spans="8:15" x14ac:dyDescent="0.3">
      <c r="H173" s="155"/>
      <c r="I173" s="155"/>
      <c r="J173" s="155"/>
      <c r="K173" s="155"/>
      <c r="L173" s="305"/>
      <c r="M173" s="305"/>
      <c r="N173" s="305"/>
      <c r="O173" s="305"/>
    </row>
    <row r="174" spans="8:15" x14ac:dyDescent="0.3">
      <c r="H174" s="155"/>
      <c r="I174" s="155"/>
      <c r="J174" s="155"/>
      <c r="K174" s="155"/>
      <c r="L174" s="305"/>
      <c r="M174" s="305"/>
      <c r="N174" s="305"/>
      <c r="O174" s="305"/>
    </row>
    <row r="175" spans="8:15" x14ac:dyDescent="0.3">
      <c r="H175" s="155"/>
      <c r="I175" s="155"/>
      <c r="J175" s="155"/>
      <c r="K175" s="155"/>
      <c r="L175" s="305"/>
      <c r="M175" s="305"/>
      <c r="N175" s="305"/>
      <c r="O175" s="305"/>
    </row>
    <row r="176" spans="8:15" x14ac:dyDescent="0.3">
      <c r="H176" s="155"/>
      <c r="I176" s="155"/>
      <c r="J176" s="155"/>
      <c r="K176" s="155"/>
      <c r="L176" s="305"/>
      <c r="M176" s="305"/>
      <c r="N176" s="305"/>
      <c r="O176" s="305"/>
    </row>
    <row r="177" spans="8:15" x14ac:dyDescent="0.3">
      <c r="H177" s="155"/>
      <c r="I177" s="155"/>
      <c r="J177" s="155"/>
      <c r="K177" s="155"/>
      <c r="L177" s="305"/>
      <c r="M177" s="305"/>
      <c r="N177" s="305"/>
      <c r="O177" s="305"/>
    </row>
    <row r="178" spans="8:15" x14ac:dyDescent="0.3">
      <c r="H178" s="155"/>
      <c r="I178" s="155"/>
      <c r="J178" s="155"/>
      <c r="K178" s="155"/>
      <c r="L178" s="305"/>
      <c r="M178" s="305"/>
      <c r="N178" s="305"/>
      <c r="O178" s="305"/>
    </row>
    <row r="179" spans="8:15" x14ac:dyDescent="0.3">
      <c r="H179" s="155"/>
      <c r="I179" s="155"/>
      <c r="J179" s="155"/>
      <c r="K179" s="155"/>
      <c r="L179" s="305"/>
      <c r="M179" s="305"/>
      <c r="N179" s="305"/>
      <c r="O179" s="305"/>
    </row>
    <row r="180" spans="8:15" x14ac:dyDescent="0.3">
      <c r="H180" s="155"/>
      <c r="I180" s="155"/>
      <c r="J180" s="155"/>
      <c r="K180" s="155"/>
      <c r="L180" s="305"/>
      <c r="M180" s="305"/>
      <c r="N180" s="305"/>
      <c r="O180" s="305"/>
    </row>
    <row r="181" spans="8:15" x14ac:dyDescent="0.3">
      <c r="H181" s="155"/>
      <c r="I181" s="155"/>
      <c r="J181" s="155"/>
      <c r="K181" s="155"/>
      <c r="L181" s="305"/>
      <c r="M181" s="305"/>
      <c r="N181" s="305"/>
      <c r="O181" s="305"/>
    </row>
    <row r="182" spans="8:15" x14ac:dyDescent="0.3">
      <c r="H182" s="155"/>
      <c r="I182" s="155"/>
      <c r="J182" s="155"/>
      <c r="K182" s="155"/>
      <c r="L182" s="305"/>
      <c r="M182" s="305"/>
      <c r="N182" s="305"/>
      <c r="O182" s="305"/>
    </row>
    <row r="183" spans="8:15" x14ac:dyDescent="0.3">
      <c r="H183" s="155"/>
      <c r="I183" s="155"/>
      <c r="J183" s="155"/>
      <c r="K183" s="155"/>
      <c r="L183" s="305"/>
      <c r="M183" s="305"/>
      <c r="N183" s="305"/>
      <c r="O183" s="305"/>
    </row>
    <row r="184" spans="8:15" x14ac:dyDescent="0.3">
      <c r="H184" s="155"/>
      <c r="I184" s="155"/>
      <c r="J184" s="155"/>
      <c r="K184" s="155"/>
      <c r="L184" s="305"/>
      <c r="M184" s="305"/>
      <c r="N184" s="305"/>
      <c r="O184" s="305"/>
    </row>
    <row r="185" spans="8:15" x14ac:dyDescent="0.3">
      <c r="H185" s="155"/>
      <c r="I185" s="155"/>
      <c r="J185" s="155"/>
      <c r="K185" s="155"/>
      <c r="L185" s="305"/>
      <c r="M185" s="305"/>
      <c r="N185" s="305"/>
      <c r="O185" s="305"/>
    </row>
    <row r="186" spans="8:15" x14ac:dyDescent="0.3">
      <c r="H186" s="155"/>
      <c r="I186" s="155"/>
      <c r="J186" s="155"/>
      <c r="K186" s="155"/>
      <c r="L186" s="305"/>
      <c r="M186" s="305"/>
      <c r="N186" s="305"/>
      <c r="O186" s="305"/>
    </row>
    <row r="187" spans="8:15" x14ac:dyDescent="0.3">
      <c r="H187" s="155"/>
      <c r="I187" s="155"/>
      <c r="J187" s="155"/>
      <c r="K187" s="155"/>
      <c r="L187" s="305"/>
      <c r="M187" s="305"/>
      <c r="N187" s="305"/>
      <c r="O187" s="305"/>
    </row>
    <row r="188" spans="8:15" x14ac:dyDescent="0.3">
      <c r="H188" s="155"/>
      <c r="I188" s="155"/>
      <c r="J188" s="155"/>
      <c r="K188" s="155"/>
      <c r="L188" s="305"/>
      <c r="M188" s="305"/>
      <c r="N188" s="305"/>
      <c r="O188" s="305"/>
    </row>
    <row r="189" spans="8:15" x14ac:dyDescent="0.3">
      <c r="H189" s="155"/>
      <c r="I189" s="155"/>
      <c r="J189" s="155"/>
      <c r="K189" s="155"/>
      <c r="L189" s="305"/>
      <c r="M189" s="305"/>
      <c r="N189" s="305"/>
      <c r="O189" s="305"/>
    </row>
    <row r="190" spans="8:15" x14ac:dyDescent="0.3">
      <c r="H190" s="155"/>
      <c r="I190" s="155"/>
      <c r="J190" s="155"/>
      <c r="K190" s="155"/>
      <c r="L190" s="305"/>
      <c r="M190" s="305"/>
      <c r="N190" s="305"/>
      <c r="O190" s="305"/>
    </row>
    <row r="191" spans="8:15" x14ac:dyDescent="0.3">
      <c r="H191" s="155"/>
      <c r="I191" s="155"/>
      <c r="J191" s="155"/>
      <c r="K191" s="155"/>
      <c r="L191" s="305"/>
      <c r="M191" s="305"/>
      <c r="N191" s="305"/>
      <c r="O191" s="305"/>
    </row>
    <row r="192" spans="8:15" x14ac:dyDescent="0.3">
      <c r="H192" s="155"/>
      <c r="I192" s="155"/>
      <c r="J192" s="155"/>
      <c r="K192" s="155"/>
      <c r="L192" s="305"/>
      <c r="M192" s="305"/>
      <c r="N192" s="305"/>
      <c r="O192" s="305"/>
    </row>
    <row r="193" spans="8:15" x14ac:dyDescent="0.3">
      <c r="H193" s="155"/>
      <c r="I193" s="155"/>
      <c r="J193" s="155"/>
      <c r="K193" s="155"/>
      <c r="L193" s="305"/>
      <c r="M193" s="305"/>
      <c r="N193" s="305"/>
      <c r="O193" s="305"/>
    </row>
    <row r="194" spans="8:15" x14ac:dyDescent="0.3">
      <c r="H194" s="155"/>
      <c r="I194" s="155"/>
      <c r="J194" s="155"/>
      <c r="K194" s="155"/>
      <c r="L194" s="305"/>
      <c r="M194" s="305"/>
      <c r="N194" s="305"/>
      <c r="O194" s="305"/>
    </row>
    <row r="195" spans="8:15" x14ac:dyDescent="0.3">
      <c r="H195" s="155"/>
      <c r="I195" s="155"/>
      <c r="J195" s="155"/>
      <c r="K195" s="155"/>
      <c r="L195" s="305"/>
      <c r="M195" s="305"/>
      <c r="N195" s="305"/>
      <c r="O195" s="305"/>
    </row>
    <row r="196" spans="8:15" x14ac:dyDescent="0.3">
      <c r="H196" s="155"/>
      <c r="I196" s="155"/>
      <c r="J196" s="155"/>
      <c r="K196" s="155"/>
      <c r="L196" s="305"/>
      <c r="M196" s="305"/>
      <c r="N196" s="305"/>
      <c r="O196" s="305"/>
    </row>
    <row r="197" spans="8:15" x14ac:dyDescent="0.3">
      <c r="H197" s="155"/>
      <c r="I197" s="155"/>
      <c r="J197" s="155"/>
      <c r="K197" s="155"/>
      <c r="L197" s="305"/>
      <c r="M197" s="305"/>
      <c r="N197" s="305"/>
      <c r="O197" s="305"/>
    </row>
    <row r="198" spans="8:15" x14ac:dyDescent="0.3">
      <c r="H198" s="155"/>
      <c r="I198" s="155"/>
      <c r="J198" s="155"/>
      <c r="K198" s="155"/>
      <c r="L198" s="305"/>
      <c r="M198" s="305"/>
      <c r="N198" s="305"/>
      <c r="O198" s="305"/>
    </row>
    <row r="199" spans="8:15" x14ac:dyDescent="0.3">
      <c r="H199" s="155"/>
      <c r="I199" s="155"/>
      <c r="J199" s="155"/>
      <c r="K199" s="155"/>
      <c r="L199" s="305"/>
      <c r="M199" s="305"/>
      <c r="N199" s="305"/>
      <c r="O199" s="305"/>
    </row>
    <row r="200" spans="8:15" x14ac:dyDescent="0.3">
      <c r="H200" s="155"/>
      <c r="I200" s="155"/>
      <c r="J200" s="155"/>
      <c r="K200" s="155"/>
      <c r="L200" s="305"/>
      <c r="M200" s="305"/>
      <c r="N200" s="305"/>
      <c r="O200" s="305"/>
    </row>
    <row r="201" spans="8:15" x14ac:dyDescent="0.3">
      <c r="H201" s="155"/>
      <c r="I201" s="155"/>
      <c r="J201" s="155"/>
      <c r="K201" s="155"/>
      <c r="L201" s="305"/>
      <c r="M201" s="305"/>
      <c r="N201" s="305"/>
      <c r="O201" s="305"/>
    </row>
    <row r="202" spans="8:15" x14ac:dyDescent="0.3">
      <c r="H202" s="155"/>
      <c r="I202" s="155"/>
      <c r="J202" s="155"/>
      <c r="K202" s="155"/>
      <c r="L202" s="305"/>
      <c r="M202" s="305"/>
      <c r="N202" s="305"/>
      <c r="O202" s="305"/>
    </row>
    <row r="203" spans="8:15" x14ac:dyDescent="0.3">
      <c r="H203" s="155"/>
      <c r="I203" s="155"/>
      <c r="J203" s="155"/>
      <c r="K203" s="155"/>
      <c r="L203" s="305"/>
      <c r="M203" s="305"/>
      <c r="N203" s="305"/>
      <c r="O203" s="305"/>
    </row>
    <row r="204" spans="8:15" x14ac:dyDescent="0.3">
      <c r="H204" s="155"/>
      <c r="I204" s="155"/>
      <c r="J204" s="155"/>
      <c r="K204" s="155"/>
      <c r="L204" s="305"/>
      <c r="M204" s="305"/>
      <c r="N204" s="305"/>
      <c r="O204" s="305"/>
    </row>
    <row r="205" spans="8:15" x14ac:dyDescent="0.3">
      <c r="H205" s="155"/>
      <c r="I205" s="155"/>
      <c r="J205" s="155"/>
      <c r="K205" s="155"/>
      <c r="L205" s="305"/>
      <c r="M205" s="305"/>
      <c r="N205" s="305"/>
      <c r="O205" s="305"/>
    </row>
    <row r="206" spans="8:15" x14ac:dyDescent="0.3">
      <c r="H206" s="155"/>
      <c r="I206" s="155"/>
      <c r="J206" s="155"/>
      <c r="K206" s="155"/>
      <c r="L206" s="305"/>
      <c r="M206" s="305"/>
      <c r="N206" s="305"/>
      <c r="O206" s="305"/>
    </row>
    <row r="207" spans="8:15" x14ac:dyDescent="0.3">
      <c r="H207" s="155"/>
      <c r="I207" s="155"/>
      <c r="J207" s="155"/>
      <c r="K207" s="155"/>
      <c r="L207" s="305"/>
      <c r="M207" s="305"/>
      <c r="N207" s="305"/>
      <c r="O207" s="305"/>
    </row>
    <row r="208" spans="8:15" x14ac:dyDescent="0.3">
      <c r="H208" s="155"/>
      <c r="I208" s="155"/>
      <c r="J208" s="155"/>
      <c r="K208" s="155"/>
      <c r="L208" s="305"/>
      <c r="M208" s="305"/>
      <c r="N208" s="305"/>
      <c r="O208" s="305"/>
    </row>
    <row r="209" spans="8:15" x14ac:dyDescent="0.3">
      <c r="H209" s="155"/>
      <c r="I209" s="155"/>
      <c r="J209" s="155"/>
      <c r="K209" s="155"/>
      <c r="L209" s="305"/>
      <c r="M209" s="305"/>
      <c r="N209" s="305"/>
      <c r="O209" s="305"/>
    </row>
    <row r="210" spans="8:15" x14ac:dyDescent="0.3">
      <c r="H210" s="155"/>
      <c r="I210" s="155"/>
      <c r="J210" s="155"/>
      <c r="K210" s="155"/>
      <c r="L210" s="305"/>
      <c r="M210" s="305"/>
      <c r="N210" s="305"/>
      <c r="O210" s="305"/>
    </row>
    <row r="211" spans="8:15" x14ac:dyDescent="0.3">
      <c r="H211" s="155"/>
      <c r="I211" s="155"/>
      <c r="J211" s="155"/>
      <c r="K211" s="155"/>
      <c r="L211" s="305"/>
      <c r="M211" s="305"/>
      <c r="N211" s="305"/>
      <c r="O211" s="305"/>
    </row>
    <row r="212" spans="8:15" x14ac:dyDescent="0.3">
      <c r="H212" s="155"/>
      <c r="I212" s="155"/>
      <c r="J212" s="155"/>
      <c r="K212" s="155"/>
      <c r="L212" s="305"/>
      <c r="M212" s="305"/>
      <c r="N212" s="305"/>
      <c r="O212" s="305"/>
    </row>
    <row r="213" spans="8:15" x14ac:dyDescent="0.3">
      <c r="H213" s="155"/>
      <c r="I213" s="155"/>
      <c r="J213" s="155"/>
      <c r="K213" s="155"/>
      <c r="L213" s="305"/>
      <c r="M213" s="305"/>
      <c r="N213" s="305"/>
      <c r="O213" s="305"/>
    </row>
    <row r="214" spans="8:15" x14ac:dyDescent="0.3">
      <c r="H214" s="155"/>
      <c r="I214" s="155"/>
      <c r="J214" s="155"/>
      <c r="K214" s="155"/>
      <c r="L214" s="305"/>
      <c r="M214" s="305"/>
      <c r="N214" s="305"/>
      <c r="O214" s="305"/>
    </row>
    <row r="215" spans="8:15" x14ac:dyDescent="0.3">
      <c r="H215" s="155"/>
      <c r="I215" s="155"/>
      <c r="J215" s="155"/>
      <c r="K215" s="155"/>
      <c r="L215" s="305"/>
      <c r="M215" s="305"/>
      <c r="N215" s="305"/>
      <c r="O215" s="305"/>
    </row>
    <row r="216" spans="8:15" x14ac:dyDescent="0.3">
      <c r="H216" s="155"/>
      <c r="I216" s="155"/>
      <c r="J216" s="155"/>
      <c r="K216" s="155"/>
      <c r="L216" s="305"/>
      <c r="M216" s="305"/>
      <c r="N216" s="305"/>
      <c r="O216" s="305"/>
    </row>
    <row r="217" spans="8:15" x14ac:dyDescent="0.3">
      <c r="H217" s="155"/>
      <c r="I217" s="155"/>
      <c r="J217" s="155"/>
      <c r="K217" s="155"/>
      <c r="L217" s="305"/>
      <c r="M217" s="305"/>
      <c r="N217" s="305"/>
      <c r="O217" s="305"/>
    </row>
    <row r="218" spans="8:15" x14ac:dyDescent="0.3">
      <c r="H218" s="155"/>
      <c r="I218" s="155"/>
      <c r="J218" s="155"/>
      <c r="K218" s="155"/>
      <c r="L218" s="305"/>
      <c r="M218" s="305"/>
      <c r="N218" s="305"/>
      <c r="O218" s="305"/>
    </row>
    <row r="219" spans="8:15" x14ac:dyDescent="0.3">
      <c r="H219" s="155"/>
      <c r="I219" s="155"/>
      <c r="J219" s="155"/>
      <c r="K219" s="155"/>
      <c r="L219" s="305"/>
      <c r="M219" s="305"/>
      <c r="N219" s="305"/>
      <c r="O219" s="305"/>
    </row>
    <row r="220" spans="8:15" x14ac:dyDescent="0.3">
      <c r="H220" s="155"/>
      <c r="I220" s="155"/>
      <c r="J220" s="155"/>
      <c r="K220" s="155"/>
      <c r="L220" s="305"/>
      <c r="M220" s="305"/>
      <c r="N220" s="305"/>
      <c r="O220" s="305"/>
    </row>
    <row r="221" spans="8:15" x14ac:dyDescent="0.3">
      <c r="H221" s="155"/>
      <c r="I221" s="155"/>
      <c r="J221" s="155"/>
      <c r="K221" s="155"/>
      <c r="L221" s="305"/>
      <c r="M221" s="305"/>
      <c r="N221" s="305"/>
      <c r="O221" s="305"/>
    </row>
    <row r="222" spans="8:15" x14ac:dyDescent="0.3">
      <c r="H222" s="155"/>
      <c r="I222" s="155"/>
      <c r="J222" s="155"/>
      <c r="K222" s="155"/>
      <c r="L222" s="305"/>
      <c r="M222" s="305"/>
      <c r="N222" s="305"/>
      <c r="O222" s="305"/>
    </row>
    <row r="223" spans="8:15" x14ac:dyDescent="0.3">
      <c r="H223" s="155"/>
      <c r="I223" s="155"/>
      <c r="J223" s="155"/>
      <c r="K223" s="155"/>
      <c r="L223" s="305"/>
      <c r="M223" s="305"/>
      <c r="N223" s="305"/>
      <c r="O223" s="305"/>
    </row>
    <row r="224" spans="8:15" x14ac:dyDescent="0.3">
      <c r="H224" s="155"/>
      <c r="I224" s="155"/>
      <c r="J224" s="155"/>
      <c r="K224" s="155"/>
      <c r="L224" s="305"/>
      <c r="M224" s="305"/>
      <c r="N224" s="305"/>
      <c r="O224" s="305"/>
    </row>
    <row r="225" spans="8:15" x14ac:dyDescent="0.3">
      <c r="H225" s="155"/>
      <c r="I225" s="155"/>
      <c r="J225" s="155"/>
      <c r="K225" s="155"/>
      <c r="L225" s="305"/>
      <c r="M225" s="305"/>
      <c r="N225" s="305"/>
      <c r="O225" s="305"/>
    </row>
    <row r="226" spans="8:15" x14ac:dyDescent="0.3">
      <c r="H226" s="155"/>
      <c r="I226" s="155"/>
      <c r="J226" s="155"/>
      <c r="K226" s="155"/>
      <c r="L226" s="305"/>
      <c r="M226" s="305"/>
      <c r="N226" s="305"/>
      <c r="O226" s="305"/>
    </row>
    <row r="227" spans="8:15" x14ac:dyDescent="0.3">
      <c r="H227" s="155"/>
      <c r="I227" s="155"/>
      <c r="J227" s="155"/>
      <c r="K227" s="155"/>
      <c r="L227" s="305"/>
      <c r="M227" s="305"/>
      <c r="N227" s="305"/>
      <c r="O227" s="305"/>
    </row>
    <row r="228" spans="8:15" x14ac:dyDescent="0.3">
      <c r="H228" s="155"/>
      <c r="I228" s="155"/>
      <c r="J228" s="155"/>
      <c r="K228" s="155"/>
      <c r="L228" s="305"/>
      <c r="M228" s="305"/>
      <c r="N228" s="305"/>
      <c r="O228" s="305"/>
    </row>
    <row r="229" spans="8:15" x14ac:dyDescent="0.3">
      <c r="H229" s="155"/>
      <c r="I229" s="155"/>
      <c r="J229" s="155"/>
      <c r="K229" s="155"/>
      <c r="L229" s="305"/>
      <c r="M229" s="305"/>
      <c r="N229" s="305"/>
      <c r="O229" s="305"/>
    </row>
    <row r="230" spans="8:15" x14ac:dyDescent="0.3">
      <c r="H230" s="155"/>
      <c r="I230" s="155"/>
      <c r="J230" s="155"/>
      <c r="K230" s="155"/>
      <c r="L230" s="305"/>
      <c r="M230" s="305"/>
      <c r="N230" s="305"/>
      <c r="O230" s="305"/>
    </row>
    <row r="231" spans="8:15" x14ac:dyDescent="0.3">
      <c r="H231" s="155"/>
      <c r="I231" s="155"/>
      <c r="J231" s="155"/>
      <c r="K231" s="155"/>
      <c r="L231" s="305"/>
      <c r="M231" s="305"/>
      <c r="N231" s="305"/>
      <c r="O231" s="305"/>
    </row>
    <row r="232" spans="8:15" x14ac:dyDescent="0.3">
      <c r="H232" s="155"/>
      <c r="I232" s="155"/>
      <c r="J232" s="155"/>
      <c r="K232" s="155"/>
      <c r="L232" s="305"/>
      <c r="M232" s="305"/>
      <c r="N232" s="305"/>
      <c r="O232" s="305"/>
    </row>
    <row r="233" spans="8:15" x14ac:dyDescent="0.3">
      <c r="H233" s="155"/>
      <c r="I233" s="155"/>
      <c r="J233" s="155"/>
      <c r="K233" s="155"/>
      <c r="L233" s="305"/>
      <c r="M233" s="305"/>
      <c r="N233" s="305"/>
      <c r="O233" s="305"/>
    </row>
    <row r="234" spans="8:15" x14ac:dyDescent="0.3">
      <c r="H234" s="155"/>
      <c r="I234" s="155"/>
      <c r="J234" s="155"/>
      <c r="K234" s="155"/>
      <c r="L234" s="305"/>
      <c r="M234" s="305"/>
      <c r="N234" s="305"/>
      <c r="O234" s="305"/>
    </row>
    <row r="235" spans="8:15" x14ac:dyDescent="0.3">
      <c r="H235" s="155"/>
      <c r="I235" s="155"/>
      <c r="J235" s="155"/>
      <c r="K235" s="155"/>
      <c r="L235" s="305"/>
      <c r="M235" s="305"/>
      <c r="N235" s="305"/>
      <c r="O235" s="305"/>
    </row>
    <row r="236" spans="8:15" x14ac:dyDescent="0.3">
      <c r="H236" s="155"/>
      <c r="I236" s="155"/>
      <c r="J236" s="155"/>
      <c r="K236" s="155"/>
      <c r="L236" s="305"/>
      <c r="M236" s="305"/>
      <c r="N236" s="305"/>
      <c r="O236" s="305"/>
    </row>
    <row r="237" spans="8:15" x14ac:dyDescent="0.3">
      <c r="H237" s="155"/>
      <c r="I237" s="155"/>
      <c r="J237" s="155"/>
      <c r="K237" s="155"/>
      <c r="L237" s="305"/>
      <c r="M237" s="305"/>
      <c r="N237" s="305"/>
      <c r="O237" s="305"/>
    </row>
    <row r="238" spans="8:15" x14ac:dyDescent="0.3">
      <c r="H238" s="155"/>
      <c r="I238" s="155"/>
      <c r="J238" s="155"/>
      <c r="K238" s="155"/>
      <c r="L238" s="305"/>
      <c r="M238" s="305"/>
      <c r="N238" s="305"/>
      <c r="O238" s="305"/>
    </row>
    <row r="239" spans="8:15" x14ac:dyDescent="0.3">
      <c r="H239" s="155"/>
      <c r="I239" s="155"/>
      <c r="J239" s="155"/>
      <c r="K239" s="155"/>
      <c r="L239" s="305"/>
      <c r="M239" s="305"/>
      <c r="N239" s="305"/>
      <c r="O239" s="305"/>
    </row>
    <row r="240" spans="8:15" x14ac:dyDescent="0.3">
      <c r="H240" s="155"/>
      <c r="I240" s="155"/>
      <c r="J240" s="155"/>
      <c r="K240" s="155"/>
      <c r="L240" s="305"/>
      <c r="M240" s="305"/>
      <c r="N240" s="305"/>
      <c r="O240" s="305"/>
    </row>
    <row r="241" spans="8:15" x14ac:dyDescent="0.3">
      <c r="H241" s="155"/>
      <c r="I241" s="155"/>
      <c r="J241" s="155"/>
      <c r="K241" s="155"/>
      <c r="L241" s="305"/>
      <c r="M241" s="305"/>
      <c r="N241" s="305"/>
      <c r="O241" s="305"/>
    </row>
    <row r="242" spans="8:15" x14ac:dyDescent="0.3">
      <c r="H242" s="155"/>
      <c r="I242" s="155"/>
      <c r="J242" s="155"/>
      <c r="K242" s="155"/>
      <c r="L242" s="305"/>
      <c r="M242" s="305"/>
      <c r="N242" s="305"/>
      <c r="O242" s="305"/>
    </row>
    <row r="243" spans="8:15" x14ac:dyDescent="0.3">
      <c r="H243" s="155"/>
      <c r="I243" s="155"/>
      <c r="J243" s="155"/>
      <c r="K243" s="155"/>
      <c r="L243" s="305"/>
      <c r="M243" s="305"/>
      <c r="N243" s="305"/>
      <c r="O243" s="305"/>
    </row>
    <row r="244" spans="8:15" x14ac:dyDescent="0.3">
      <c r="H244" s="155"/>
      <c r="I244" s="155"/>
      <c r="J244" s="155"/>
      <c r="K244" s="155"/>
      <c r="L244" s="305"/>
      <c r="M244" s="305"/>
      <c r="N244" s="305"/>
      <c r="O244" s="305"/>
    </row>
    <row r="245" spans="8:15" x14ac:dyDescent="0.3">
      <c r="H245" s="155"/>
      <c r="I245" s="155"/>
      <c r="J245" s="155"/>
      <c r="K245" s="155"/>
      <c r="L245" s="305"/>
      <c r="M245" s="305"/>
      <c r="N245" s="305"/>
      <c r="O245" s="305"/>
    </row>
    <row r="246" spans="8:15" x14ac:dyDescent="0.3">
      <c r="H246" s="155"/>
      <c r="I246" s="155"/>
      <c r="J246" s="155"/>
      <c r="K246" s="155"/>
      <c r="L246" s="305"/>
      <c r="M246" s="305"/>
      <c r="N246" s="305"/>
      <c r="O246" s="305"/>
    </row>
    <row r="247" spans="8:15" x14ac:dyDescent="0.3">
      <c r="H247" s="155"/>
      <c r="I247" s="155"/>
      <c r="J247" s="155"/>
      <c r="K247" s="155"/>
      <c r="L247" s="305"/>
      <c r="M247" s="305"/>
      <c r="N247" s="305"/>
      <c r="O247" s="305"/>
    </row>
    <row r="248" spans="8:15" x14ac:dyDescent="0.3">
      <c r="H248" s="155"/>
      <c r="I248" s="155"/>
      <c r="J248" s="155"/>
      <c r="K248" s="155"/>
      <c r="L248" s="305"/>
      <c r="M248" s="305"/>
      <c r="N248" s="305"/>
      <c r="O248" s="305"/>
    </row>
    <row r="249" spans="8:15" x14ac:dyDescent="0.3">
      <c r="H249" s="155"/>
      <c r="I249" s="155"/>
      <c r="J249" s="155"/>
      <c r="K249" s="155"/>
      <c r="L249" s="305"/>
      <c r="M249" s="305"/>
      <c r="N249" s="305"/>
      <c r="O249" s="305"/>
    </row>
    <row r="250" spans="8:15" x14ac:dyDescent="0.3">
      <c r="H250" s="155"/>
      <c r="I250" s="155"/>
      <c r="J250" s="155"/>
      <c r="K250" s="155"/>
      <c r="L250" s="305"/>
      <c r="M250" s="305"/>
      <c r="N250" s="305"/>
      <c r="O250" s="305"/>
    </row>
    <row r="251" spans="8:15" x14ac:dyDescent="0.3">
      <c r="H251" s="155"/>
      <c r="I251" s="155"/>
      <c r="J251" s="155"/>
      <c r="K251" s="155"/>
      <c r="L251" s="305"/>
      <c r="M251" s="305"/>
      <c r="N251" s="305"/>
      <c r="O251" s="305"/>
    </row>
    <row r="252" spans="8:15" x14ac:dyDescent="0.3">
      <c r="H252" s="155"/>
      <c r="I252" s="155"/>
      <c r="J252" s="155"/>
      <c r="K252" s="155"/>
      <c r="L252" s="305"/>
      <c r="M252" s="305"/>
      <c r="N252" s="305"/>
      <c r="O252" s="305"/>
    </row>
    <row r="253" spans="8:15" x14ac:dyDescent="0.3">
      <c r="H253" s="155"/>
      <c r="I253" s="155"/>
      <c r="J253" s="155"/>
      <c r="K253" s="155"/>
      <c r="L253" s="305"/>
      <c r="M253" s="305"/>
      <c r="N253" s="305"/>
      <c r="O253" s="305"/>
    </row>
    <row r="254" spans="8:15" x14ac:dyDescent="0.3">
      <c r="H254" s="155"/>
      <c r="I254" s="155"/>
      <c r="J254" s="155"/>
      <c r="K254" s="155"/>
      <c r="L254" s="305"/>
      <c r="M254" s="305"/>
      <c r="N254" s="305"/>
      <c r="O254" s="305"/>
    </row>
    <row r="255" spans="8:15" x14ac:dyDescent="0.3">
      <c r="H255" s="155"/>
      <c r="I255" s="155"/>
      <c r="J255" s="155"/>
      <c r="K255" s="155"/>
      <c r="L255" s="305"/>
      <c r="M255" s="305"/>
      <c r="N255" s="305"/>
      <c r="O255" s="305"/>
    </row>
    <row r="256" spans="8:15" x14ac:dyDescent="0.3">
      <c r="H256" s="155"/>
      <c r="I256" s="155"/>
      <c r="J256" s="155"/>
      <c r="K256" s="155"/>
      <c r="L256" s="305"/>
      <c r="M256" s="305"/>
      <c r="N256" s="305"/>
      <c r="O256" s="305"/>
    </row>
    <row r="257" spans="8:15" x14ac:dyDescent="0.3">
      <c r="H257" s="155"/>
      <c r="I257" s="155"/>
      <c r="J257" s="155"/>
      <c r="K257" s="155"/>
      <c r="L257" s="305"/>
      <c r="M257" s="305"/>
      <c r="N257" s="305"/>
      <c r="O257" s="305"/>
    </row>
    <row r="258" spans="8:15" x14ac:dyDescent="0.3">
      <c r="H258" s="155"/>
      <c r="I258" s="155"/>
      <c r="J258" s="155"/>
      <c r="K258" s="155"/>
      <c r="L258" s="305"/>
      <c r="M258" s="305"/>
      <c r="N258" s="305"/>
      <c r="O258" s="305"/>
    </row>
    <row r="259" spans="8:15" x14ac:dyDescent="0.3">
      <c r="H259" s="155"/>
      <c r="I259" s="155"/>
      <c r="J259" s="155"/>
      <c r="K259" s="155"/>
      <c r="L259" s="305"/>
      <c r="M259" s="305"/>
      <c r="N259" s="305"/>
      <c r="O259" s="305"/>
    </row>
    <row r="260" spans="8:15" x14ac:dyDescent="0.3">
      <c r="H260" s="155"/>
      <c r="I260" s="155"/>
      <c r="J260" s="155"/>
      <c r="K260" s="155"/>
      <c r="L260" s="305"/>
      <c r="M260" s="305"/>
      <c r="N260" s="305"/>
      <c r="O260" s="305"/>
    </row>
    <row r="261" spans="8:15" x14ac:dyDescent="0.3">
      <c r="H261" s="155"/>
      <c r="I261" s="155"/>
      <c r="J261" s="155"/>
      <c r="K261" s="155"/>
      <c r="L261" s="305"/>
      <c r="M261" s="305"/>
      <c r="N261" s="305"/>
      <c r="O261" s="305"/>
    </row>
    <row r="262" spans="8:15" x14ac:dyDescent="0.3">
      <c r="H262" s="155"/>
      <c r="I262" s="155"/>
      <c r="J262" s="155"/>
      <c r="K262" s="155"/>
      <c r="L262" s="305"/>
      <c r="M262" s="305"/>
      <c r="N262" s="305"/>
      <c r="O262" s="305"/>
    </row>
    <row r="263" spans="8:15" x14ac:dyDescent="0.3">
      <c r="H263" s="155"/>
      <c r="I263" s="155"/>
      <c r="J263" s="155"/>
      <c r="K263" s="155"/>
      <c r="L263" s="305"/>
      <c r="M263" s="305"/>
      <c r="N263" s="305"/>
      <c r="O263" s="305"/>
    </row>
    <row r="264" spans="8:15" x14ac:dyDescent="0.3">
      <c r="H264" s="155"/>
      <c r="I264" s="155"/>
      <c r="J264" s="155"/>
      <c r="K264" s="155"/>
      <c r="L264" s="305"/>
      <c r="M264" s="305"/>
      <c r="N264" s="305"/>
      <c r="O264" s="305"/>
    </row>
    <row r="265" spans="8:15" x14ac:dyDescent="0.3">
      <c r="H265" s="155"/>
      <c r="I265" s="155"/>
      <c r="J265" s="155"/>
      <c r="K265" s="155"/>
      <c r="L265" s="305"/>
      <c r="M265" s="305"/>
      <c r="N265" s="305"/>
      <c r="O265" s="305"/>
    </row>
    <row r="266" spans="8:15" x14ac:dyDescent="0.3">
      <c r="H266" s="155"/>
      <c r="I266" s="155"/>
      <c r="J266" s="155"/>
      <c r="K266" s="155"/>
      <c r="L266" s="305"/>
      <c r="M266" s="305"/>
      <c r="N266" s="305"/>
      <c r="O266" s="305"/>
    </row>
    <row r="267" spans="8:15" x14ac:dyDescent="0.3">
      <c r="H267" s="155"/>
      <c r="I267" s="155"/>
      <c r="J267" s="155"/>
      <c r="K267" s="155"/>
      <c r="L267" s="305"/>
      <c r="M267" s="305"/>
      <c r="N267" s="305"/>
      <c r="O267" s="305"/>
    </row>
    <row r="268" spans="8:15" x14ac:dyDescent="0.3">
      <c r="H268" s="155"/>
      <c r="I268" s="155"/>
      <c r="J268" s="155"/>
      <c r="K268" s="155"/>
      <c r="L268" s="305"/>
      <c r="M268" s="305"/>
      <c r="N268" s="305"/>
      <c r="O268" s="305"/>
    </row>
    <row r="269" spans="8:15" x14ac:dyDescent="0.3">
      <c r="H269" s="155"/>
      <c r="I269" s="155"/>
      <c r="J269" s="155"/>
      <c r="K269" s="155"/>
      <c r="L269" s="305"/>
      <c r="M269" s="305"/>
      <c r="N269" s="305"/>
      <c r="O269" s="305"/>
    </row>
    <row r="270" spans="8:15" x14ac:dyDescent="0.3">
      <c r="H270" s="155"/>
      <c r="I270" s="155"/>
      <c r="J270" s="155"/>
      <c r="K270" s="155"/>
      <c r="L270" s="305"/>
      <c r="M270" s="305"/>
      <c r="N270" s="305"/>
      <c r="O270" s="305"/>
    </row>
    <row r="271" spans="8:15" x14ac:dyDescent="0.3">
      <c r="H271" s="155"/>
      <c r="I271" s="155"/>
      <c r="J271" s="155"/>
      <c r="K271" s="155"/>
      <c r="L271" s="305"/>
      <c r="M271" s="305"/>
      <c r="N271" s="305"/>
      <c r="O271" s="305"/>
    </row>
    <row r="272" spans="8:15" x14ac:dyDescent="0.3">
      <c r="H272" s="155"/>
      <c r="I272" s="155"/>
      <c r="J272" s="155"/>
      <c r="K272" s="155"/>
      <c r="L272" s="305"/>
      <c r="M272" s="305"/>
      <c r="N272" s="305"/>
      <c r="O272" s="305"/>
    </row>
    <row r="273" spans="8:15" x14ac:dyDescent="0.3">
      <c r="H273" s="155"/>
      <c r="I273" s="155"/>
      <c r="J273" s="155"/>
      <c r="K273" s="155"/>
      <c r="L273" s="305"/>
      <c r="M273" s="305"/>
      <c r="N273" s="305"/>
      <c r="O273" s="305"/>
    </row>
    <row r="274" spans="8:15" x14ac:dyDescent="0.3">
      <c r="H274" s="155"/>
      <c r="I274" s="155"/>
      <c r="J274" s="155"/>
      <c r="K274" s="155"/>
      <c r="L274" s="305"/>
      <c r="M274" s="305"/>
      <c r="N274" s="305"/>
      <c r="O274" s="305"/>
    </row>
    <row r="275" spans="8:15" x14ac:dyDescent="0.3">
      <c r="H275" s="155"/>
      <c r="I275" s="155"/>
      <c r="J275" s="155"/>
      <c r="K275" s="155"/>
      <c r="L275" s="305"/>
      <c r="M275" s="305"/>
      <c r="N275" s="305"/>
      <c r="O275" s="305"/>
    </row>
    <row r="276" spans="8:15" x14ac:dyDescent="0.3">
      <c r="H276" s="155"/>
      <c r="I276" s="155"/>
      <c r="J276" s="155"/>
      <c r="K276" s="155"/>
      <c r="L276" s="305"/>
      <c r="M276" s="305"/>
      <c r="N276" s="305"/>
      <c r="O276" s="305"/>
    </row>
    <row r="277" spans="8:15" x14ac:dyDescent="0.3">
      <c r="H277" s="155"/>
      <c r="I277" s="155"/>
      <c r="J277" s="155"/>
      <c r="K277" s="155"/>
      <c r="L277" s="305"/>
      <c r="M277" s="305"/>
      <c r="N277" s="305"/>
      <c r="O277" s="305"/>
    </row>
    <row r="278" spans="8:15" x14ac:dyDescent="0.3">
      <c r="H278" s="155"/>
      <c r="I278" s="155"/>
      <c r="J278" s="155"/>
      <c r="K278" s="155"/>
      <c r="L278" s="305"/>
      <c r="M278" s="305"/>
      <c r="N278" s="305"/>
      <c r="O278" s="305"/>
    </row>
    <row r="279" spans="8:15" x14ac:dyDescent="0.3">
      <c r="H279" s="155"/>
      <c r="I279" s="155"/>
      <c r="J279" s="155"/>
      <c r="K279" s="155"/>
      <c r="L279" s="305"/>
      <c r="M279" s="305"/>
      <c r="N279" s="305"/>
      <c r="O279" s="305"/>
    </row>
    <row r="280" spans="8:15" x14ac:dyDescent="0.3">
      <c r="H280" s="155"/>
      <c r="I280" s="155"/>
      <c r="J280" s="155"/>
      <c r="K280" s="155"/>
      <c r="L280" s="305"/>
      <c r="M280" s="305"/>
      <c r="N280" s="305"/>
      <c r="O280" s="305"/>
    </row>
    <row r="281" spans="8:15" x14ac:dyDescent="0.3">
      <c r="H281" s="155"/>
      <c r="I281" s="155"/>
      <c r="J281" s="155"/>
      <c r="K281" s="155"/>
      <c r="L281" s="305"/>
      <c r="M281" s="305"/>
      <c r="N281" s="305"/>
      <c r="O281" s="305"/>
    </row>
    <row r="282" spans="8:15" x14ac:dyDescent="0.3">
      <c r="H282" s="155"/>
      <c r="I282" s="155"/>
      <c r="J282" s="155"/>
      <c r="K282" s="155"/>
      <c r="L282" s="305"/>
      <c r="M282" s="305"/>
      <c r="N282" s="305"/>
      <c r="O282" s="305"/>
    </row>
    <row r="283" spans="8:15" x14ac:dyDescent="0.3">
      <c r="H283" s="155"/>
      <c r="I283" s="155"/>
      <c r="J283" s="155"/>
      <c r="K283" s="155"/>
      <c r="L283" s="305"/>
      <c r="M283" s="305"/>
      <c r="N283" s="305"/>
      <c r="O283" s="305"/>
    </row>
    <row r="284" spans="8:15" x14ac:dyDescent="0.3">
      <c r="H284" s="155"/>
      <c r="I284" s="155"/>
      <c r="J284" s="155"/>
      <c r="K284" s="155"/>
      <c r="L284" s="305"/>
      <c r="M284" s="305"/>
      <c r="N284" s="305"/>
      <c r="O284" s="305"/>
    </row>
    <row r="285" spans="8:15" x14ac:dyDescent="0.3">
      <c r="H285" s="155"/>
      <c r="I285" s="155"/>
      <c r="J285" s="155"/>
      <c r="K285" s="155"/>
      <c r="L285" s="305"/>
      <c r="M285" s="305"/>
      <c r="N285" s="305"/>
      <c r="O285" s="305"/>
    </row>
    <row r="286" spans="8:15" x14ac:dyDescent="0.3">
      <c r="H286" s="155"/>
      <c r="I286" s="155"/>
      <c r="J286" s="155"/>
      <c r="K286" s="155"/>
      <c r="L286" s="305"/>
      <c r="M286" s="305"/>
      <c r="N286" s="305"/>
      <c r="O286" s="305"/>
    </row>
    <row r="287" spans="8:15" x14ac:dyDescent="0.3">
      <c r="H287" s="155"/>
      <c r="I287" s="155"/>
      <c r="J287" s="155"/>
      <c r="K287" s="155"/>
      <c r="L287" s="305"/>
      <c r="M287" s="305"/>
      <c r="N287" s="305"/>
      <c r="O287" s="305"/>
    </row>
    <row r="288" spans="8:15" x14ac:dyDescent="0.3">
      <c r="H288" s="155"/>
      <c r="I288" s="155"/>
      <c r="J288" s="155"/>
      <c r="K288" s="155"/>
      <c r="L288" s="305"/>
      <c r="M288" s="305"/>
      <c r="N288" s="305"/>
      <c r="O288" s="305"/>
    </row>
    <row r="289" spans="8:15" x14ac:dyDescent="0.3">
      <c r="H289" s="155"/>
      <c r="I289" s="155"/>
      <c r="J289" s="155"/>
      <c r="K289" s="155"/>
      <c r="L289" s="305"/>
      <c r="M289" s="305"/>
      <c r="N289" s="305"/>
      <c r="O289" s="305"/>
    </row>
    <row r="290" spans="8:15" x14ac:dyDescent="0.3">
      <c r="H290" s="155"/>
      <c r="I290" s="155"/>
      <c r="J290" s="155"/>
      <c r="K290" s="155"/>
      <c r="L290" s="305"/>
      <c r="M290" s="305"/>
      <c r="N290" s="305"/>
      <c r="O290" s="305"/>
    </row>
    <row r="291" spans="8:15" x14ac:dyDescent="0.3">
      <c r="H291" s="155"/>
      <c r="I291" s="155"/>
      <c r="J291" s="155"/>
      <c r="K291" s="155"/>
      <c r="L291" s="305"/>
      <c r="M291" s="305"/>
      <c r="N291" s="305"/>
      <c r="O291" s="305"/>
    </row>
    <row r="292" spans="8:15" x14ac:dyDescent="0.3">
      <c r="H292" s="155"/>
      <c r="I292" s="155"/>
      <c r="J292" s="155"/>
      <c r="K292" s="155"/>
      <c r="L292" s="305"/>
      <c r="M292" s="305"/>
      <c r="N292" s="305"/>
      <c r="O292" s="305"/>
    </row>
    <row r="293" spans="8:15" x14ac:dyDescent="0.3">
      <c r="H293" s="155"/>
      <c r="I293" s="155"/>
      <c r="J293" s="155"/>
      <c r="K293" s="155"/>
      <c r="L293" s="305"/>
      <c r="M293" s="305"/>
      <c r="N293" s="305"/>
      <c r="O293" s="305"/>
    </row>
    <row r="294" spans="8:15" x14ac:dyDescent="0.3">
      <c r="H294" s="155"/>
      <c r="I294" s="155"/>
      <c r="J294" s="155"/>
      <c r="K294" s="155"/>
      <c r="L294" s="305"/>
      <c r="M294" s="305"/>
      <c r="N294" s="305"/>
      <c r="O294" s="305"/>
    </row>
    <row r="295" spans="8:15" x14ac:dyDescent="0.3">
      <c r="H295" s="155"/>
      <c r="I295" s="155"/>
      <c r="J295" s="155"/>
      <c r="K295" s="155"/>
      <c r="L295" s="305"/>
      <c r="M295" s="305"/>
      <c r="N295" s="305"/>
      <c r="O295" s="305"/>
    </row>
    <row r="296" spans="8:15" x14ac:dyDescent="0.3">
      <c r="H296" s="155"/>
      <c r="I296" s="155"/>
      <c r="J296" s="155"/>
      <c r="K296" s="155"/>
      <c r="L296" s="305"/>
      <c r="M296" s="305"/>
      <c r="N296" s="305"/>
      <c r="O296" s="305"/>
    </row>
    <row r="297" spans="8:15" x14ac:dyDescent="0.3">
      <c r="H297" s="155"/>
      <c r="I297" s="155"/>
      <c r="J297" s="155"/>
      <c r="K297" s="155"/>
      <c r="L297" s="305"/>
      <c r="M297" s="305"/>
      <c r="N297" s="305"/>
      <c r="O297" s="305"/>
    </row>
    <row r="298" spans="8:15" x14ac:dyDescent="0.3">
      <c r="H298" s="155"/>
      <c r="I298" s="155"/>
      <c r="J298" s="155"/>
      <c r="K298" s="155"/>
      <c r="L298" s="305"/>
      <c r="M298" s="305"/>
      <c r="N298" s="305"/>
      <c r="O298" s="305"/>
    </row>
    <row r="299" spans="8:15" x14ac:dyDescent="0.3">
      <c r="H299" s="155"/>
      <c r="I299" s="155"/>
      <c r="J299" s="155"/>
      <c r="K299" s="155"/>
      <c r="L299" s="305"/>
      <c r="M299" s="305"/>
      <c r="N299" s="305"/>
      <c r="O299" s="305"/>
    </row>
    <row r="300" spans="8:15" x14ac:dyDescent="0.3">
      <c r="H300" s="155"/>
      <c r="I300" s="155"/>
      <c r="J300" s="155"/>
      <c r="K300" s="155"/>
      <c r="L300" s="305"/>
      <c r="M300" s="305"/>
      <c r="N300" s="305"/>
      <c r="O300" s="305"/>
    </row>
    <row r="301" spans="8:15" x14ac:dyDescent="0.3">
      <c r="H301" s="155"/>
      <c r="I301" s="155"/>
      <c r="J301" s="155"/>
      <c r="K301" s="155"/>
      <c r="L301" s="305"/>
      <c r="M301" s="305"/>
      <c r="N301" s="305"/>
      <c r="O301" s="305"/>
    </row>
    <row r="302" spans="8:15" x14ac:dyDescent="0.3">
      <c r="H302" s="155"/>
      <c r="I302" s="155"/>
      <c r="J302" s="155"/>
      <c r="K302" s="155"/>
      <c r="L302" s="305"/>
      <c r="M302" s="305"/>
      <c r="N302" s="305"/>
      <c r="O302" s="305"/>
    </row>
    <row r="303" spans="8:15" x14ac:dyDescent="0.3">
      <c r="H303" s="155"/>
      <c r="I303" s="155"/>
      <c r="J303" s="155"/>
      <c r="K303" s="155"/>
      <c r="L303" s="305"/>
      <c r="M303" s="305"/>
      <c r="N303" s="305"/>
      <c r="O303" s="305"/>
    </row>
    <row r="304" spans="8:15" x14ac:dyDescent="0.3">
      <c r="H304" s="155"/>
      <c r="I304" s="155"/>
      <c r="J304" s="155"/>
      <c r="K304" s="155"/>
      <c r="L304" s="305"/>
      <c r="M304" s="305"/>
      <c r="N304" s="305"/>
      <c r="O304" s="305"/>
    </row>
    <row r="305" spans="8:15" x14ac:dyDescent="0.3">
      <c r="H305" s="155"/>
      <c r="I305" s="155"/>
      <c r="J305" s="155"/>
      <c r="K305" s="155"/>
      <c r="L305" s="305"/>
      <c r="M305" s="305"/>
      <c r="N305" s="305"/>
      <c r="O305" s="305"/>
    </row>
    <row r="306" spans="8:15" x14ac:dyDescent="0.3">
      <c r="H306" s="155"/>
      <c r="I306" s="155"/>
      <c r="J306" s="155"/>
      <c r="K306" s="155"/>
      <c r="L306" s="305"/>
      <c r="M306" s="305"/>
      <c r="N306" s="305"/>
      <c r="O306" s="305"/>
    </row>
    <row r="307" spans="8:15" x14ac:dyDescent="0.3">
      <c r="H307" s="155"/>
      <c r="I307" s="155"/>
      <c r="J307" s="155"/>
      <c r="K307" s="155"/>
      <c r="L307" s="305"/>
      <c r="M307" s="305"/>
      <c r="N307" s="305"/>
      <c r="O307" s="305"/>
    </row>
    <row r="308" spans="8:15" x14ac:dyDescent="0.3">
      <c r="H308" s="155"/>
      <c r="I308" s="155"/>
      <c r="J308" s="155"/>
      <c r="K308" s="155"/>
      <c r="L308" s="305"/>
      <c r="M308" s="305"/>
      <c r="N308" s="305"/>
      <c r="O308" s="305"/>
    </row>
    <row r="309" spans="8:15" x14ac:dyDescent="0.3">
      <c r="H309" s="155"/>
      <c r="I309" s="155"/>
      <c r="J309" s="155"/>
      <c r="K309" s="155"/>
      <c r="L309" s="305"/>
      <c r="M309" s="305"/>
      <c r="N309" s="305"/>
      <c r="O309" s="305"/>
    </row>
    <row r="310" spans="8:15" x14ac:dyDescent="0.3">
      <c r="H310" s="155"/>
      <c r="I310" s="155"/>
      <c r="J310" s="155"/>
      <c r="K310" s="155"/>
      <c r="L310" s="305"/>
      <c r="M310" s="305"/>
      <c r="N310" s="305"/>
      <c r="O310" s="305"/>
    </row>
    <row r="311" spans="8:15" x14ac:dyDescent="0.3">
      <c r="H311" s="155"/>
      <c r="I311" s="155"/>
      <c r="J311" s="155"/>
      <c r="K311" s="155"/>
      <c r="L311" s="305"/>
      <c r="M311" s="305"/>
      <c r="N311" s="305"/>
      <c r="O311" s="305"/>
    </row>
    <row r="312" spans="8:15" x14ac:dyDescent="0.3">
      <c r="H312" s="155"/>
      <c r="I312" s="155"/>
      <c r="J312" s="155"/>
      <c r="K312" s="155"/>
      <c r="L312" s="305"/>
      <c r="M312" s="305"/>
      <c r="N312" s="305"/>
      <c r="O312" s="305"/>
    </row>
    <row r="313" spans="8:15" x14ac:dyDescent="0.3">
      <c r="H313" s="155"/>
      <c r="I313" s="155"/>
      <c r="J313" s="155"/>
      <c r="K313" s="155"/>
      <c r="L313" s="305"/>
      <c r="M313" s="305"/>
      <c r="N313" s="305"/>
      <c r="O313" s="305"/>
    </row>
    <row r="314" spans="8:15" x14ac:dyDescent="0.3">
      <c r="H314" s="155"/>
      <c r="I314" s="155"/>
      <c r="J314" s="155"/>
      <c r="K314" s="155"/>
      <c r="L314" s="305"/>
      <c r="M314" s="305"/>
      <c r="N314" s="305"/>
      <c r="O314" s="305"/>
    </row>
    <row r="315" spans="8:15" x14ac:dyDescent="0.3">
      <c r="H315" s="155"/>
      <c r="I315" s="155"/>
      <c r="J315" s="155"/>
      <c r="K315" s="155"/>
      <c r="L315" s="305"/>
      <c r="M315" s="305"/>
      <c r="N315" s="305"/>
      <c r="O315" s="305"/>
    </row>
    <row r="316" spans="8:15" x14ac:dyDescent="0.3">
      <c r="H316" s="155"/>
      <c r="I316" s="155"/>
      <c r="J316" s="155"/>
      <c r="K316" s="155"/>
      <c r="L316" s="305"/>
      <c r="M316" s="305"/>
      <c r="N316" s="305"/>
      <c r="O316" s="305"/>
    </row>
    <row r="317" spans="8:15" x14ac:dyDescent="0.3">
      <c r="H317" s="155"/>
      <c r="I317" s="155"/>
      <c r="J317" s="155"/>
      <c r="K317" s="155"/>
      <c r="L317" s="305"/>
      <c r="M317" s="305"/>
      <c r="N317" s="305"/>
      <c r="O317" s="305"/>
    </row>
    <row r="318" spans="8:15" x14ac:dyDescent="0.3">
      <c r="H318" s="155"/>
      <c r="I318" s="155"/>
      <c r="J318" s="155"/>
      <c r="K318" s="155"/>
      <c r="L318" s="305"/>
      <c r="M318" s="305"/>
      <c r="N318" s="305"/>
      <c r="O318" s="305"/>
    </row>
    <row r="319" spans="8:15" x14ac:dyDescent="0.3">
      <c r="H319" s="155"/>
      <c r="I319" s="155"/>
      <c r="J319" s="155"/>
      <c r="K319" s="155"/>
      <c r="L319" s="305"/>
      <c r="M319" s="305"/>
      <c r="N319" s="305"/>
      <c r="O319" s="305"/>
    </row>
    <row r="320" spans="8:15" x14ac:dyDescent="0.3">
      <c r="H320" s="155"/>
      <c r="I320" s="155"/>
      <c r="J320" s="155"/>
      <c r="K320" s="155"/>
      <c r="L320" s="305"/>
      <c r="M320" s="305"/>
      <c r="N320" s="305"/>
      <c r="O320" s="305"/>
    </row>
    <row r="321" spans="8:15" x14ac:dyDescent="0.3">
      <c r="H321" s="155"/>
      <c r="I321" s="155"/>
      <c r="J321" s="155"/>
      <c r="K321" s="155"/>
      <c r="L321" s="305"/>
      <c r="M321" s="305"/>
      <c r="N321" s="305"/>
      <c r="O321" s="305"/>
    </row>
    <row r="322" spans="8:15" x14ac:dyDescent="0.3">
      <c r="H322" s="155"/>
      <c r="I322" s="155"/>
      <c r="J322" s="155"/>
      <c r="K322" s="155"/>
      <c r="L322" s="305"/>
      <c r="M322" s="305"/>
      <c r="N322" s="305"/>
      <c r="O322" s="305"/>
    </row>
    <row r="323" spans="8:15" x14ac:dyDescent="0.3">
      <c r="H323" s="155"/>
      <c r="I323" s="155"/>
      <c r="J323" s="155"/>
      <c r="K323" s="155"/>
      <c r="L323" s="305"/>
      <c r="M323" s="305"/>
      <c r="N323" s="305"/>
      <c r="O323" s="305"/>
    </row>
    <row r="324" spans="8:15" x14ac:dyDescent="0.3">
      <c r="H324" s="155"/>
      <c r="I324" s="155"/>
      <c r="J324" s="155"/>
      <c r="K324" s="155"/>
      <c r="L324" s="305"/>
      <c r="M324" s="305"/>
      <c r="N324" s="305"/>
      <c r="O324" s="305"/>
    </row>
    <row r="325" spans="8:15" x14ac:dyDescent="0.3">
      <c r="H325" s="155"/>
      <c r="I325" s="155"/>
      <c r="J325" s="155"/>
      <c r="K325" s="155"/>
      <c r="L325" s="305"/>
      <c r="M325" s="305"/>
      <c r="N325" s="305"/>
      <c r="O325" s="305"/>
    </row>
    <row r="326" spans="8:15" x14ac:dyDescent="0.3">
      <c r="H326" s="155"/>
      <c r="I326" s="155"/>
      <c r="J326" s="155"/>
      <c r="K326" s="155"/>
      <c r="L326" s="305"/>
      <c r="M326" s="305"/>
      <c r="N326" s="305"/>
      <c r="O326" s="305"/>
    </row>
    <row r="327" spans="8:15" x14ac:dyDescent="0.3">
      <c r="H327" s="155"/>
      <c r="I327" s="155"/>
      <c r="J327" s="155"/>
      <c r="K327" s="155"/>
      <c r="L327" s="305"/>
      <c r="M327" s="305"/>
      <c r="N327" s="305"/>
      <c r="O327" s="305"/>
    </row>
    <row r="328" spans="8:15" x14ac:dyDescent="0.3">
      <c r="H328" s="155"/>
      <c r="I328" s="155"/>
      <c r="J328" s="155"/>
      <c r="K328" s="155"/>
      <c r="L328" s="305"/>
      <c r="M328" s="305"/>
      <c r="N328" s="305"/>
      <c r="O328" s="305"/>
    </row>
    <row r="329" spans="8:15" x14ac:dyDescent="0.3">
      <c r="H329" s="155"/>
      <c r="I329" s="155"/>
      <c r="J329" s="155"/>
      <c r="K329" s="155"/>
      <c r="L329" s="305"/>
      <c r="M329" s="305"/>
      <c r="N329" s="305"/>
      <c r="O329" s="305"/>
    </row>
    <row r="330" spans="8:15" x14ac:dyDescent="0.3">
      <c r="H330" s="155"/>
      <c r="I330" s="155"/>
      <c r="J330" s="155"/>
      <c r="K330" s="155"/>
      <c r="L330" s="305"/>
      <c r="M330" s="305"/>
      <c r="N330" s="305"/>
      <c r="O330" s="305"/>
    </row>
    <row r="331" spans="8:15" x14ac:dyDescent="0.3">
      <c r="H331" s="155"/>
      <c r="I331" s="155"/>
      <c r="J331" s="155"/>
      <c r="K331" s="155"/>
      <c r="L331" s="305"/>
      <c r="M331" s="305"/>
      <c r="N331" s="305"/>
      <c r="O331" s="305"/>
    </row>
    <row r="332" spans="8:15" x14ac:dyDescent="0.3">
      <c r="H332" s="155"/>
      <c r="I332" s="155"/>
      <c r="J332" s="155"/>
      <c r="K332" s="155"/>
      <c r="L332" s="305"/>
      <c r="M332" s="305"/>
      <c r="N332" s="305"/>
      <c r="O332" s="305"/>
    </row>
    <row r="333" spans="8:15" x14ac:dyDescent="0.3">
      <c r="H333" s="155"/>
      <c r="I333" s="155"/>
      <c r="J333" s="155"/>
      <c r="K333" s="155"/>
      <c r="L333" s="305"/>
      <c r="M333" s="305"/>
      <c r="N333" s="305"/>
      <c r="O333" s="305"/>
    </row>
  </sheetData>
  <autoFilter ref="A2:CE74" xr:uid="{719856C6-3706-468F-A528-68BD3FF85BFD}"/>
  <sortState xmlns:xlrd2="http://schemas.microsoft.com/office/spreadsheetml/2017/richdata2" ref="A3:CG74">
    <sortCondition ref="P3:P74"/>
    <sortCondition ref="D3:D74"/>
  </sortState>
  <mergeCells count="9">
    <mergeCell ref="L1:O1"/>
    <mergeCell ref="BQ1:BU1"/>
    <mergeCell ref="BK1:BP1"/>
    <mergeCell ref="BV1:BZ1"/>
    <mergeCell ref="CA1:CE1"/>
    <mergeCell ref="Q1:AH1"/>
    <mergeCell ref="AI1:AL1"/>
    <mergeCell ref="AM1:BD1"/>
    <mergeCell ref="BE1:BH1"/>
  </mergeCells>
  <pageMargins left="0.7" right="0.7" top="0.75" bottom="0.75" header="0.3" footer="0.3"/>
  <pageSetup paperSize="9" orientation="portrait"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1320-5300-4358-B367-60C743CB0501}">
  <dimension ref="A1:F62"/>
  <sheetViews>
    <sheetView topLeftCell="A22" workbookViewId="0">
      <selection activeCell="F25" sqref="F25"/>
    </sheetView>
  </sheetViews>
  <sheetFormatPr defaultRowHeight="12" x14ac:dyDescent="0.25"/>
  <cols>
    <col min="1" max="1" width="14" style="649" bestFit="1" customWidth="1"/>
    <col min="2" max="2" width="33.5546875" style="649" bestFit="1" customWidth="1"/>
    <col min="3" max="5" width="7.109375" style="649" customWidth="1"/>
    <col min="6" max="6" width="136.6640625" style="649" bestFit="1" customWidth="1"/>
    <col min="7" max="16384" width="8.88671875" style="649"/>
  </cols>
  <sheetData>
    <row r="1" spans="1:6" x14ac:dyDescent="0.25">
      <c r="A1" s="572" t="s">
        <v>1119</v>
      </c>
      <c r="B1" s="572" t="s">
        <v>1120</v>
      </c>
      <c r="C1" s="572" t="s">
        <v>1121</v>
      </c>
      <c r="D1" s="572" t="s">
        <v>1122</v>
      </c>
      <c r="E1" s="572" t="s">
        <v>1123</v>
      </c>
      <c r="F1" s="572" t="s">
        <v>1124</v>
      </c>
    </row>
    <row r="2" spans="1:6" ht="24" x14ac:dyDescent="0.25">
      <c r="A2" s="646" t="s">
        <v>1308</v>
      </c>
      <c r="B2" s="650" t="s">
        <v>1125</v>
      </c>
      <c r="C2" s="648">
        <v>1</v>
      </c>
      <c r="D2" s="646"/>
      <c r="E2" s="646"/>
      <c r="F2" s="647" t="s">
        <v>1292</v>
      </c>
    </row>
    <row r="3" spans="1:6" x14ac:dyDescent="0.25">
      <c r="A3" s="646" t="s">
        <v>1309</v>
      </c>
      <c r="B3" s="650" t="s">
        <v>1126</v>
      </c>
      <c r="C3" s="648">
        <v>1</v>
      </c>
      <c r="D3" s="646"/>
      <c r="E3" s="646"/>
      <c r="F3" s="646" t="s">
        <v>1127</v>
      </c>
    </row>
    <row r="4" spans="1:6" ht="36" x14ac:dyDescent="0.25">
      <c r="A4" s="646" t="s">
        <v>1219</v>
      </c>
      <c r="B4" s="654" t="s">
        <v>1293</v>
      </c>
      <c r="C4" s="646"/>
      <c r="D4" s="648">
        <v>1</v>
      </c>
      <c r="E4" s="646"/>
      <c r="F4" s="646" t="s">
        <v>1128</v>
      </c>
    </row>
    <row r="5" spans="1:6" ht="24" x14ac:dyDescent="0.25">
      <c r="A5" s="646" t="s">
        <v>1310</v>
      </c>
      <c r="B5" s="650" t="s">
        <v>1129</v>
      </c>
      <c r="C5" s="651"/>
      <c r="D5" s="651">
        <v>1</v>
      </c>
      <c r="E5" s="651"/>
      <c r="F5" s="652" t="s">
        <v>1294</v>
      </c>
    </row>
    <row r="6" spans="1:6" x14ac:dyDescent="0.25">
      <c r="A6" s="646" t="s">
        <v>1220</v>
      </c>
      <c r="B6" s="650" t="s">
        <v>1130</v>
      </c>
      <c r="C6" s="648">
        <v>1</v>
      </c>
      <c r="D6" s="646"/>
      <c r="E6" s="646"/>
      <c r="F6" s="646" t="s">
        <v>1131</v>
      </c>
    </row>
    <row r="7" spans="1:6" x14ac:dyDescent="0.25">
      <c r="A7" s="646" t="s">
        <v>1311</v>
      </c>
      <c r="B7" s="650" t="s">
        <v>1295</v>
      </c>
      <c r="C7" s="646">
        <v>1</v>
      </c>
      <c r="D7" s="646"/>
      <c r="E7" s="648"/>
      <c r="F7" s="646" t="s">
        <v>1132</v>
      </c>
    </row>
    <row r="8" spans="1:6" x14ac:dyDescent="0.25">
      <c r="A8" s="646" t="s">
        <v>1221</v>
      </c>
      <c r="B8" s="650" t="s">
        <v>1133</v>
      </c>
      <c r="C8" s="648">
        <v>1</v>
      </c>
      <c r="D8" s="646"/>
      <c r="E8" s="646"/>
      <c r="F8" s="646" t="s">
        <v>1134</v>
      </c>
    </row>
    <row r="9" spans="1:6" x14ac:dyDescent="0.25">
      <c r="A9" s="646" t="s">
        <v>1222</v>
      </c>
      <c r="B9" s="650" t="s">
        <v>1135</v>
      </c>
      <c r="C9" s="646"/>
      <c r="D9" s="648">
        <v>1</v>
      </c>
      <c r="E9" s="646"/>
      <c r="F9" s="646" t="s">
        <v>1296</v>
      </c>
    </row>
    <row r="10" spans="1:6" x14ac:dyDescent="0.25">
      <c r="A10" s="646" t="s">
        <v>1223</v>
      </c>
      <c r="B10" s="646" t="s">
        <v>1136</v>
      </c>
      <c r="C10" s="646"/>
      <c r="D10" s="648">
        <v>1</v>
      </c>
      <c r="E10" s="646"/>
      <c r="F10" s="646" t="s">
        <v>1137</v>
      </c>
    </row>
    <row r="11" spans="1:6" x14ac:dyDescent="0.25">
      <c r="A11" s="646" t="s">
        <v>1224</v>
      </c>
      <c r="B11" s="650" t="s">
        <v>1138</v>
      </c>
      <c r="C11" s="646"/>
      <c r="D11" s="646">
        <v>1</v>
      </c>
      <c r="E11" s="646"/>
      <c r="F11" s="647" t="s">
        <v>1297</v>
      </c>
    </row>
    <row r="12" spans="1:6" x14ac:dyDescent="0.25">
      <c r="A12" s="646" t="s">
        <v>1225</v>
      </c>
      <c r="B12" s="649" t="s">
        <v>1139</v>
      </c>
      <c r="C12" s="651"/>
      <c r="D12" s="651"/>
      <c r="E12" s="651">
        <v>1</v>
      </c>
      <c r="F12" s="649" t="s">
        <v>1140</v>
      </c>
    </row>
    <row r="13" spans="1:6" x14ac:dyDescent="0.25">
      <c r="A13" s="646" t="s">
        <v>1312</v>
      </c>
      <c r="B13" s="646" t="s">
        <v>1218</v>
      </c>
      <c r="C13" s="648"/>
      <c r="D13" s="648">
        <v>1</v>
      </c>
      <c r="E13" s="648">
        <v>1</v>
      </c>
      <c r="F13" s="646" t="s">
        <v>1146</v>
      </c>
    </row>
    <row r="14" spans="1:6" x14ac:dyDescent="0.25">
      <c r="A14" s="649" t="s">
        <v>1313</v>
      </c>
      <c r="B14" s="653" t="s">
        <v>1298</v>
      </c>
      <c r="C14" s="649">
        <v>1</v>
      </c>
      <c r="F14" s="649" t="s">
        <v>1299</v>
      </c>
    </row>
    <row r="15" spans="1:6" x14ac:dyDescent="0.25">
      <c r="A15" s="646" t="s">
        <v>1226</v>
      </c>
      <c r="B15" s="646" t="s">
        <v>1141</v>
      </c>
      <c r="C15" s="646"/>
      <c r="D15" s="648">
        <v>1</v>
      </c>
      <c r="E15" s="646"/>
      <c r="F15" s="646" t="s">
        <v>1142</v>
      </c>
    </row>
    <row r="16" spans="1:6" x14ac:dyDescent="0.25">
      <c r="A16" s="646" t="s">
        <v>1227</v>
      </c>
      <c r="B16" s="646" t="s">
        <v>1143</v>
      </c>
      <c r="C16" s="648"/>
      <c r="D16" s="648">
        <v>1</v>
      </c>
      <c r="E16" s="648"/>
      <c r="F16" s="646" t="s">
        <v>1144</v>
      </c>
    </row>
    <row r="17" spans="1:6" x14ac:dyDescent="0.25">
      <c r="A17" s="646" t="s">
        <v>1228</v>
      </c>
      <c r="B17" s="651" t="s">
        <v>1145</v>
      </c>
      <c r="C17" s="646"/>
      <c r="D17" s="646">
        <v>1</v>
      </c>
      <c r="E17" s="646"/>
      <c r="F17" s="649" t="s">
        <v>1146</v>
      </c>
    </row>
    <row r="18" spans="1:6" x14ac:dyDescent="0.25">
      <c r="A18" s="646" t="s">
        <v>1229</v>
      </c>
      <c r="B18" s="651" t="s">
        <v>1147</v>
      </c>
      <c r="C18" s="653"/>
      <c r="D18" s="653">
        <v>1</v>
      </c>
      <c r="E18" s="653"/>
      <c r="F18" s="649" t="s">
        <v>1146</v>
      </c>
    </row>
    <row r="19" spans="1:6" x14ac:dyDescent="0.25">
      <c r="A19" s="646" t="s">
        <v>1271</v>
      </c>
      <c r="B19" s="650" t="s">
        <v>1148</v>
      </c>
      <c r="C19" s="648">
        <v>1</v>
      </c>
      <c r="D19" s="646"/>
      <c r="E19" s="646"/>
      <c r="F19" s="646" t="s">
        <v>1149</v>
      </c>
    </row>
    <row r="20" spans="1:6" ht="24" x14ac:dyDescent="0.25">
      <c r="A20" s="646" t="s">
        <v>1230</v>
      </c>
      <c r="B20" s="650" t="s">
        <v>1150</v>
      </c>
      <c r="C20" s="646">
        <v>1</v>
      </c>
      <c r="D20" s="648">
        <v>1</v>
      </c>
      <c r="E20" s="646"/>
      <c r="F20" s="647" t="s">
        <v>1151</v>
      </c>
    </row>
    <row r="21" spans="1:6" x14ac:dyDescent="0.25">
      <c r="A21" s="646" t="s">
        <v>1231</v>
      </c>
      <c r="B21" s="646" t="s">
        <v>1152</v>
      </c>
      <c r="C21" s="651"/>
      <c r="D21" s="651">
        <v>1</v>
      </c>
      <c r="E21" s="651"/>
      <c r="F21" s="649" t="s">
        <v>1146</v>
      </c>
    </row>
    <row r="22" spans="1:6" x14ac:dyDescent="0.25">
      <c r="A22" s="646" t="s">
        <v>1232</v>
      </c>
      <c r="B22" s="646" t="s">
        <v>1153</v>
      </c>
      <c r="C22" s="646"/>
      <c r="D22" s="648">
        <v>1</v>
      </c>
      <c r="E22" s="646"/>
      <c r="F22" s="646" t="s">
        <v>1318</v>
      </c>
    </row>
    <row r="23" spans="1:6" x14ac:dyDescent="0.25">
      <c r="A23" s="646" t="s">
        <v>1270</v>
      </c>
      <c r="B23" s="646" t="s">
        <v>1154</v>
      </c>
      <c r="C23" s="646"/>
      <c r="D23" s="648">
        <v>1</v>
      </c>
      <c r="E23" s="646"/>
      <c r="F23" s="646" t="s">
        <v>1155</v>
      </c>
    </row>
    <row r="24" spans="1:6" x14ac:dyDescent="0.25">
      <c r="A24" s="646" t="s">
        <v>1233</v>
      </c>
      <c r="B24" s="646" t="s">
        <v>1156</v>
      </c>
      <c r="C24" s="648">
        <v>1</v>
      </c>
      <c r="D24" s="646"/>
      <c r="E24" s="646"/>
      <c r="F24" s="646" t="s">
        <v>1157</v>
      </c>
    </row>
    <row r="25" spans="1:6" x14ac:dyDescent="0.25">
      <c r="A25" s="646" t="s">
        <v>1234</v>
      </c>
      <c r="B25" s="650" t="s">
        <v>1300</v>
      </c>
      <c r="C25" s="648"/>
      <c r="D25" s="648">
        <v>1</v>
      </c>
      <c r="E25" s="648"/>
      <c r="F25" s="646" t="s">
        <v>1158</v>
      </c>
    </row>
    <row r="26" spans="1:6" x14ac:dyDescent="0.25">
      <c r="A26" s="646" t="s">
        <v>1235</v>
      </c>
      <c r="B26" s="646" t="s">
        <v>1159</v>
      </c>
      <c r="C26" s="646"/>
      <c r="D26" s="648">
        <v>1</v>
      </c>
      <c r="E26" s="646"/>
      <c r="F26" s="646" t="s">
        <v>1160</v>
      </c>
    </row>
    <row r="27" spans="1:6" x14ac:dyDescent="0.25">
      <c r="A27" s="646" t="s">
        <v>1236</v>
      </c>
      <c r="B27" s="646" t="s">
        <v>1161</v>
      </c>
      <c r="C27" s="646"/>
      <c r="D27" s="648">
        <v>1</v>
      </c>
      <c r="E27" s="646"/>
      <c r="F27" s="646" t="s">
        <v>1162</v>
      </c>
    </row>
    <row r="28" spans="1:6" x14ac:dyDescent="0.25">
      <c r="A28" s="646" t="s">
        <v>1237</v>
      </c>
      <c r="B28" s="650" t="s">
        <v>1163</v>
      </c>
      <c r="C28" s="646"/>
      <c r="D28" s="648">
        <v>1</v>
      </c>
      <c r="E28" s="646"/>
      <c r="F28" s="646" t="s">
        <v>1164</v>
      </c>
    </row>
    <row r="29" spans="1:6" x14ac:dyDescent="0.25">
      <c r="A29" s="646" t="s">
        <v>1238</v>
      </c>
      <c r="B29" s="646" t="s">
        <v>1165</v>
      </c>
      <c r="C29" s="648">
        <v>1</v>
      </c>
      <c r="D29" s="646">
        <v>1</v>
      </c>
      <c r="E29" s="646"/>
      <c r="F29" s="646" t="s">
        <v>1166</v>
      </c>
    </row>
    <row r="30" spans="1:6" x14ac:dyDescent="0.25">
      <c r="A30" s="649" t="s">
        <v>1314</v>
      </c>
      <c r="B30" s="653" t="s">
        <v>1301</v>
      </c>
      <c r="C30" s="649">
        <v>1</v>
      </c>
      <c r="F30" s="649" t="s">
        <v>1299</v>
      </c>
    </row>
    <row r="31" spans="1:6" ht="24" x14ac:dyDescent="0.25">
      <c r="A31" s="646" t="s">
        <v>1239</v>
      </c>
      <c r="B31" s="653" t="s">
        <v>1167</v>
      </c>
      <c r="C31" s="651"/>
      <c r="D31" s="651">
        <v>1</v>
      </c>
      <c r="E31" s="651"/>
      <c r="F31" s="652" t="s">
        <v>1302</v>
      </c>
    </row>
    <row r="32" spans="1:6" x14ac:dyDescent="0.25">
      <c r="A32" s="646" t="s">
        <v>1240</v>
      </c>
      <c r="B32" s="651" t="s">
        <v>1168</v>
      </c>
      <c r="D32" s="649">
        <v>1</v>
      </c>
      <c r="F32" s="649" t="s">
        <v>1169</v>
      </c>
    </row>
    <row r="33" spans="1:6" x14ac:dyDescent="0.25">
      <c r="A33" s="646" t="s">
        <v>1241</v>
      </c>
      <c r="B33" s="650" t="s">
        <v>1170</v>
      </c>
      <c r="C33" s="646"/>
      <c r="D33" s="648">
        <v>1</v>
      </c>
      <c r="E33" s="648">
        <v>1</v>
      </c>
      <c r="F33" s="646" t="s">
        <v>1171</v>
      </c>
    </row>
    <row r="34" spans="1:6" ht="24" x14ac:dyDescent="0.25">
      <c r="A34" s="646" t="s">
        <v>1242</v>
      </c>
      <c r="B34" s="646" t="s">
        <v>1172</v>
      </c>
      <c r="C34" s="648">
        <v>1</v>
      </c>
      <c r="D34" s="646">
        <v>1</v>
      </c>
      <c r="E34" s="646"/>
      <c r="F34" s="647" t="s">
        <v>1303</v>
      </c>
    </row>
    <row r="35" spans="1:6" x14ac:dyDescent="0.25">
      <c r="A35" s="646" t="s">
        <v>1243</v>
      </c>
      <c r="B35" s="646" t="s">
        <v>1173</v>
      </c>
      <c r="C35" s="648">
        <v>1</v>
      </c>
      <c r="D35" s="646"/>
      <c r="E35" s="646"/>
      <c r="F35" s="647" t="s">
        <v>1174</v>
      </c>
    </row>
    <row r="36" spans="1:6" x14ac:dyDescent="0.25">
      <c r="A36" s="646" t="s">
        <v>1244</v>
      </c>
      <c r="B36" s="650" t="s">
        <v>1175</v>
      </c>
      <c r="C36" s="648">
        <v>1</v>
      </c>
      <c r="D36" s="646"/>
      <c r="E36" s="646"/>
      <c r="F36" s="647" t="s">
        <v>1174</v>
      </c>
    </row>
    <row r="37" spans="1:6" x14ac:dyDescent="0.25">
      <c r="A37" s="646" t="s">
        <v>1245</v>
      </c>
      <c r="B37" s="650" t="s">
        <v>1176</v>
      </c>
      <c r="C37" s="646"/>
      <c r="D37" s="648">
        <v>1</v>
      </c>
      <c r="E37" s="646"/>
      <c r="F37" s="646" t="s">
        <v>1177</v>
      </c>
    </row>
    <row r="38" spans="1:6" ht="36" x14ac:dyDescent="0.25">
      <c r="A38" s="646" t="s">
        <v>1246</v>
      </c>
      <c r="B38" s="650" t="s">
        <v>1178</v>
      </c>
      <c r="C38" s="648">
        <v>1</v>
      </c>
      <c r="D38" s="646"/>
      <c r="E38" s="646"/>
      <c r="F38" s="647" t="s">
        <v>1304</v>
      </c>
    </row>
    <row r="39" spans="1:6" ht="24" x14ac:dyDescent="0.25">
      <c r="A39" s="646" t="s">
        <v>1315</v>
      </c>
      <c r="B39" s="650" t="s">
        <v>1179</v>
      </c>
      <c r="C39" s="646"/>
      <c r="D39" s="646"/>
      <c r="E39" s="648">
        <v>1</v>
      </c>
      <c r="F39" s="647" t="s">
        <v>1180</v>
      </c>
    </row>
    <row r="40" spans="1:6" x14ac:dyDescent="0.25">
      <c r="A40" s="646" t="s">
        <v>1247</v>
      </c>
      <c r="B40" s="650" t="s">
        <v>1181</v>
      </c>
      <c r="C40" s="648">
        <v>1</v>
      </c>
      <c r="D40" s="646"/>
      <c r="E40" s="646"/>
      <c r="F40" s="647" t="s">
        <v>1182</v>
      </c>
    </row>
    <row r="41" spans="1:6" x14ac:dyDescent="0.25">
      <c r="A41" s="646" t="s">
        <v>1248</v>
      </c>
      <c r="B41" s="650" t="s">
        <v>1183</v>
      </c>
      <c r="C41" s="648">
        <v>1</v>
      </c>
      <c r="D41" s="646"/>
      <c r="E41" s="646"/>
      <c r="F41" s="646" t="s">
        <v>1174</v>
      </c>
    </row>
    <row r="42" spans="1:6" x14ac:dyDescent="0.25">
      <c r="A42" s="646" t="s">
        <v>1249</v>
      </c>
      <c r="B42" s="650" t="s">
        <v>1184</v>
      </c>
      <c r="C42" s="646"/>
      <c r="D42" s="648">
        <v>1</v>
      </c>
      <c r="E42" s="646"/>
      <c r="F42" s="647" t="s">
        <v>1185</v>
      </c>
    </row>
    <row r="43" spans="1:6" x14ac:dyDescent="0.25">
      <c r="A43" s="646" t="s">
        <v>1250</v>
      </c>
      <c r="B43" s="650" t="s">
        <v>1186</v>
      </c>
      <c r="C43" s="646"/>
      <c r="D43" s="648">
        <v>1</v>
      </c>
      <c r="E43" s="646"/>
      <c r="F43" s="646" t="s">
        <v>1187</v>
      </c>
    </row>
    <row r="44" spans="1:6" x14ac:dyDescent="0.25">
      <c r="A44" s="646" t="s">
        <v>1251</v>
      </c>
      <c r="B44" s="650" t="s">
        <v>1188</v>
      </c>
      <c r="C44" s="646"/>
      <c r="D44" s="646"/>
      <c r="E44" s="648">
        <v>1</v>
      </c>
      <c r="F44" s="646" t="s">
        <v>1305</v>
      </c>
    </row>
    <row r="45" spans="1:6" x14ac:dyDescent="0.25">
      <c r="A45" s="646" t="s">
        <v>1252</v>
      </c>
      <c r="B45" s="650" t="s">
        <v>1189</v>
      </c>
      <c r="C45" s="646"/>
      <c r="D45" s="648">
        <v>1</v>
      </c>
      <c r="E45" s="646"/>
      <c r="F45" s="646" t="s">
        <v>1190</v>
      </c>
    </row>
    <row r="46" spans="1:6" x14ac:dyDescent="0.25">
      <c r="A46" s="646" t="s">
        <v>1253</v>
      </c>
      <c r="B46" s="651" t="s">
        <v>1191</v>
      </c>
      <c r="C46" s="651"/>
      <c r="D46" s="651">
        <v>1</v>
      </c>
      <c r="E46" s="651"/>
      <c r="F46" s="649" t="s">
        <v>1192</v>
      </c>
    </row>
    <row r="47" spans="1:6" x14ac:dyDescent="0.25">
      <c r="A47" s="646" t="s">
        <v>1254</v>
      </c>
      <c r="B47" s="646" t="s">
        <v>1193</v>
      </c>
      <c r="C47" s="648">
        <v>1</v>
      </c>
      <c r="D47" s="646"/>
      <c r="E47" s="646"/>
      <c r="F47" s="647" t="s">
        <v>1194</v>
      </c>
    </row>
    <row r="48" spans="1:6" x14ac:dyDescent="0.25">
      <c r="A48" s="646" t="s">
        <v>1255</v>
      </c>
      <c r="B48" s="650" t="s">
        <v>1195</v>
      </c>
      <c r="C48" s="648">
        <v>1</v>
      </c>
      <c r="D48" s="646"/>
      <c r="E48" s="646"/>
      <c r="F48" s="646" t="s">
        <v>1174</v>
      </c>
    </row>
    <row r="49" spans="1:6" ht="24" x14ac:dyDescent="0.25">
      <c r="A49" s="646" t="s">
        <v>1256</v>
      </c>
      <c r="B49" s="650" t="s">
        <v>1196</v>
      </c>
      <c r="C49" s="648">
        <v>1</v>
      </c>
      <c r="D49" s="648">
        <v>1</v>
      </c>
      <c r="E49" s="646"/>
      <c r="F49" s="647" t="s">
        <v>1306</v>
      </c>
    </row>
    <row r="50" spans="1:6" x14ac:dyDescent="0.25">
      <c r="A50" s="649" t="s">
        <v>1257</v>
      </c>
      <c r="B50" s="649" t="s">
        <v>1197</v>
      </c>
      <c r="C50" s="653"/>
      <c r="D50" s="653">
        <v>1</v>
      </c>
      <c r="E50" s="653"/>
      <c r="F50" s="649" t="s">
        <v>1198</v>
      </c>
    </row>
    <row r="51" spans="1:6" x14ac:dyDescent="0.25">
      <c r="A51" s="646" t="s">
        <v>1258</v>
      </c>
      <c r="B51" s="651" t="s">
        <v>1199</v>
      </c>
      <c r="C51" s="650"/>
      <c r="D51" s="650">
        <v>1</v>
      </c>
      <c r="E51" s="650"/>
      <c r="F51" s="652" t="s">
        <v>1200</v>
      </c>
    </row>
    <row r="52" spans="1:6" x14ac:dyDescent="0.25">
      <c r="A52" s="646" t="s">
        <v>1259</v>
      </c>
      <c r="B52" s="650" t="s">
        <v>1201</v>
      </c>
      <c r="C52" s="646"/>
      <c r="D52" s="648">
        <v>1</v>
      </c>
      <c r="E52" s="646"/>
      <c r="F52" s="646" t="s">
        <v>1202</v>
      </c>
    </row>
    <row r="53" spans="1:6" x14ac:dyDescent="0.25">
      <c r="A53" s="646" t="s">
        <v>1260</v>
      </c>
      <c r="B53" s="653" t="s">
        <v>1203</v>
      </c>
      <c r="C53" s="653"/>
      <c r="D53" s="653">
        <v>1</v>
      </c>
      <c r="E53" s="653"/>
      <c r="F53" s="649" t="s">
        <v>1198</v>
      </c>
    </row>
    <row r="54" spans="1:6" x14ac:dyDescent="0.25">
      <c r="A54" s="646" t="s">
        <v>1261</v>
      </c>
      <c r="B54" s="650" t="s">
        <v>1204</v>
      </c>
      <c r="C54" s="646"/>
      <c r="D54" s="648">
        <v>1</v>
      </c>
      <c r="E54" s="646"/>
      <c r="F54" s="646" t="s">
        <v>1205</v>
      </c>
    </row>
    <row r="55" spans="1:6" x14ac:dyDescent="0.25">
      <c r="A55" s="646" t="s">
        <v>1316</v>
      </c>
      <c r="B55" s="650" t="s">
        <v>1206</v>
      </c>
      <c r="C55" s="646"/>
      <c r="D55" s="648">
        <v>1</v>
      </c>
      <c r="E55" s="646"/>
      <c r="F55" s="646" t="s">
        <v>1307</v>
      </c>
    </row>
    <row r="56" spans="1:6" x14ac:dyDescent="0.25">
      <c r="A56" s="646" t="s">
        <v>1262</v>
      </c>
      <c r="B56" s="650" t="s">
        <v>1207</v>
      </c>
      <c r="C56" s="650"/>
      <c r="D56" s="650">
        <v>1</v>
      </c>
      <c r="E56" s="650"/>
      <c r="F56" s="649" t="s">
        <v>1198</v>
      </c>
    </row>
    <row r="57" spans="1:6" x14ac:dyDescent="0.25">
      <c r="A57" s="646" t="s">
        <v>1267</v>
      </c>
      <c r="B57" s="646" t="s">
        <v>1216</v>
      </c>
      <c r="C57" s="648"/>
      <c r="D57" s="648">
        <v>1</v>
      </c>
      <c r="E57" s="648"/>
      <c r="F57" s="646" t="s">
        <v>1217</v>
      </c>
    </row>
    <row r="58" spans="1:6" x14ac:dyDescent="0.25">
      <c r="A58" s="646" t="s">
        <v>1263</v>
      </c>
      <c r="B58" s="650" t="s">
        <v>1208</v>
      </c>
      <c r="C58" s="646"/>
      <c r="D58" s="648">
        <v>1</v>
      </c>
      <c r="E58" s="646"/>
      <c r="F58" s="646" t="s">
        <v>1209</v>
      </c>
    </row>
    <row r="59" spans="1:6" x14ac:dyDescent="0.25">
      <c r="A59" s="646" t="s">
        <v>1264</v>
      </c>
      <c r="B59" s="653" t="s">
        <v>1210</v>
      </c>
      <c r="C59" s="646"/>
      <c r="D59" s="646"/>
      <c r="E59" s="646">
        <v>1</v>
      </c>
      <c r="F59" s="647" t="s">
        <v>1211</v>
      </c>
    </row>
    <row r="60" spans="1:6" x14ac:dyDescent="0.25">
      <c r="A60" s="646" t="s">
        <v>1317</v>
      </c>
      <c r="B60" s="650" t="s">
        <v>1212</v>
      </c>
      <c r="D60" s="649">
        <v>1</v>
      </c>
      <c r="F60" s="649" t="s">
        <v>1198</v>
      </c>
    </row>
    <row r="61" spans="1:6" x14ac:dyDescent="0.25">
      <c r="A61" s="646" t="s">
        <v>1265</v>
      </c>
      <c r="B61" s="646" t="s">
        <v>1213</v>
      </c>
      <c r="D61" s="649">
        <v>1</v>
      </c>
      <c r="F61" s="649" t="s">
        <v>1146</v>
      </c>
    </row>
    <row r="62" spans="1:6" x14ac:dyDescent="0.25">
      <c r="A62" s="646" t="s">
        <v>1266</v>
      </c>
      <c r="B62" s="650" t="s">
        <v>1214</v>
      </c>
      <c r="C62" s="646"/>
      <c r="D62" s="646"/>
      <c r="E62" s="648">
        <v>1</v>
      </c>
      <c r="F62" s="646" t="s">
        <v>1215</v>
      </c>
    </row>
  </sheetData>
  <hyperlinks>
    <hyperlink ref="B6" r:id="rId1" display="mailto:allan.burbidge@dbca.wa.gov.au" xr:uid="{FB5AA41F-FA7B-495F-8699-EB9CD8A64682}"/>
    <hyperlink ref="B3" r:id="rId2" display="mailto:Caroline.Blackmore@environment.nsw.gov.au" xr:uid="{488D944F-9097-427B-BF8C-DDA25080D6F3}"/>
    <hyperlink ref="B42" r:id="rId3" display="mailto:DMichael@csu.edu.au" xr:uid="{2B335DD3-A8A2-42E5-A881-C290A240B18A}"/>
    <hyperlink ref="B45" r:id="rId4" display="mailto:David.Newell@scu.edu.au" xr:uid="{DC34E952-4F71-4881-A7E4-F02532B51F6D}"/>
    <hyperlink ref="B4" r:id="rId5" xr:uid="{663089FD-456B-4BF6-BB49-65152612D05E}"/>
    <hyperlink ref="B28" r:id="rId6" display="mailto:d.kuchinke@federation.edu.au" xr:uid="{17E38F4E-8662-48AC-8D24-72820C286DDE}"/>
    <hyperlink ref="B44" r:id="rId7" display="mailto:Eridani.Mulder@australianwildlife.org" xr:uid="{3EE128F1-B163-47B3-BAF4-C5AF37CEE6CF}"/>
    <hyperlink ref="B8" r:id="rId8" display="mailto:gavin.butler@dpi.nsw.gov.au" xr:uid="{8FB03A6E-B6F6-4A9B-8760-FBCC4943C835}"/>
    <hyperlink ref="B19" r:id="rId9" display="mailto:Graeme.Gillespie@nt.gov.au" xr:uid="{AF9D948A-7A58-4FEA-A455-B2169C6163FD}"/>
    <hyperlink ref="B52" r:id="rId10" display="mailto:holly.sitters@unimelb.edu.au" xr:uid="{CAD04E58-4706-486C-B105-84B01A34DFED}"/>
    <hyperlink ref="B40" r:id="rId11" display="mailto:jmelv@museum.vic.gov.au" xr:uid="{FA283422-BFB4-4E7C-9107-C224E66B4E4F}"/>
    <hyperlink ref="B49" r:id="rId12" display="mailto:Jodi.Rowley@austmus.gov.au" xr:uid="{626E6C21-F674-4C5A-B963-F1ED325BC24B}"/>
    <hyperlink ref="B36" r:id="rId13" display="mailto:josephine.machunter@delwp.vic.gov.au" xr:uid="{A0FB4274-556F-467A-9451-223226EE7F35}"/>
    <hyperlink ref="B11" r:id="rId14" display="mailto:kadoyle@csu.edu.au" xr:uid="{96B76427-6D1F-4B0D-877D-B9C43B129C5C}"/>
    <hyperlink ref="B20" r:id="rId15" display="mailto:matthew.greenlees@mq.edu.au" xr:uid="{D20181A9-A14C-4A68-8537-9700E5523124}"/>
    <hyperlink ref="B58" r:id="rId16" display="mailto:matthew.west@unimelb.edu.au" xr:uid="{CBC3F7EA-8330-4227-BF93-7F2D46582AFA}"/>
    <hyperlink ref="B37" r:id="rId17" display="mailto:michael.mahony@newcastle.edu.au" xr:uid="{C988DEDA-722C-4EBC-B0C2-51FE9A49A08B}"/>
    <hyperlink ref="B43" r:id="rId18" display="mailto:nicola.mitchell@uwa.edu.au" xr:uid="{232F8C5B-74CB-41FD-8B67-3B4A5FA704C4}"/>
    <hyperlink ref="B41" r:id="rId19" xr:uid="{432B955B-C718-4356-8511-B82DFFE29324}"/>
    <hyperlink ref="B7" r:id="rId20" xr:uid="{FB693CE5-F95E-42BC-9000-454EFAF35C41}"/>
    <hyperlink ref="B9" r:id="rId21" display="mailto:renee.catullo@uwa.edu.au" xr:uid="{2B63F4DD-A4F8-4182-90ED-A1EA5ABCE0C0}"/>
    <hyperlink ref="B33" r:id="rId22" display="mailto:richard.loyn@bigpond.com" xr:uid="{23AE54D3-763B-4B1B-BB05-04DA27FCD671}"/>
    <hyperlink ref="B54" r:id="rId23" display="mailto:R.Spencer@westernsydney.edu.au" xr:uid="{C84EFF91-D189-44A9-84E8-5B1D93D37FA3}"/>
    <hyperlink ref="B39" r:id="rId24" display="mailto:rob@aabio.com.au" xr:uid="{241142D4-7535-4F05-916D-E64B990C5AE7}"/>
    <hyperlink ref="B2" r:id="rId25" display="mailto:Shane.Ahyong@austmus.gov.au" xr:uid="{785975C7-810A-4C11-9F73-5EA5EC7DC5F8}"/>
    <hyperlink ref="B38" r:id="rId26" display="mailto:stephen.mahony93@gmail.com" xr:uid="{67204CF0-06E1-4863-9F6A-FF5505A2226F}"/>
    <hyperlink ref="B55" r:id="rId27" display="mailto:S.Lawler@latrobe.edu.au" xr:uid="{124D12C7-77E5-4CF9-B206-BCBB7B8FC94B}"/>
    <hyperlink ref="B62" r:id="rId28" xr:uid="{6F840EC5-4A4D-4235-AB49-E4DB64DCFDAE}"/>
    <hyperlink ref="B48" r:id="rId29" display="mailto:Tarmo.Raadik@delwp.vic.gov.au" xr:uid="{AA063561-E701-4E85-8D4A-7C173D0C6F07}"/>
    <hyperlink ref="B31" r:id="rId30" display="mailto:SarahMariaLegge@gmail.com" xr:uid="{454CEB6D-7E56-402B-B264-6DDB971781C3}"/>
    <hyperlink ref="B51" r:id="rId31" xr:uid="{D800F98D-565B-4C3E-86A8-7E49A04B71AE}"/>
    <hyperlink ref="B17" r:id="rId32" xr:uid="{D62596F4-6449-4634-BC0F-B8A6B79A4D2A}"/>
    <hyperlink ref="B32" r:id="rId33" xr:uid="{94A94529-98FE-4529-8E1B-01B654CAB49D}"/>
    <hyperlink ref="B46" r:id="rId34" xr:uid="{7BA20EB7-27EB-4ADA-83E5-5C5A9BDF0857}"/>
    <hyperlink ref="B59" r:id="rId35" display="mailto:nick.whiterod@aquasave.com.au" xr:uid="{BF2A2D2B-1C21-4C5D-BEAA-2C074F78E258}"/>
    <hyperlink ref="B53" r:id="rId36" display="mailto:darren.southwell@unimelb.edu.au" xr:uid="{1132BF26-E058-4C1C-AF9A-63117322A1E7}"/>
    <hyperlink ref="B60" r:id="rId37" xr:uid="{3F8809AE-E725-4333-BA13-043255B11160}"/>
    <hyperlink ref="B56" r:id="rId38" xr:uid="{C89E9CF7-7DFC-4482-A814-6EC6D1537955}"/>
    <hyperlink ref="B5" r:id="rId39" xr:uid="{B4C07732-E18C-4617-BB1A-BCBF6E9153AD}"/>
    <hyperlink ref="B18" r:id="rId40" xr:uid="{01B25F0E-D4F4-4E8A-B08C-196C029C64D0}"/>
    <hyperlink ref="B14" r:id="rId41" xr:uid="{F0526DE8-4A6B-4263-86A1-8266EBDEF3EB}"/>
    <hyperlink ref="B30" r:id="rId42" xr:uid="{0DFABC7A-CAD8-4C8F-8F27-C24AAAC0907B}"/>
    <hyperlink ref="B25" r:id="rId43" xr:uid="{695FC8F3-8FC1-4D0B-93A5-9F484EE0A7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A567-1AC1-4748-94A4-FF8BF4885E01}">
  <dimension ref="A1:KW67"/>
  <sheetViews>
    <sheetView zoomScale="60" zoomScaleNormal="60" workbookViewId="0">
      <pane xSplit="4" ySplit="2" topLeftCell="AJ3" activePane="bottomRight" state="frozen"/>
      <selection pane="topRight" activeCell="E1" sqref="E1"/>
      <selection pane="bottomLeft" activeCell="A3" sqref="A3"/>
      <selection pane="bottomRight" activeCell="BL43" sqref="BL43"/>
    </sheetView>
  </sheetViews>
  <sheetFormatPr defaultRowHeight="15" customHeight="1" x14ac:dyDescent="0.3"/>
  <cols>
    <col min="1" max="1" width="10.77734375" bestFit="1" customWidth="1"/>
    <col min="2" max="2" width="19.109375" bestFit="1" customWidth="1"/>
    <col min="3" max="3" width="41.77734375" customWidth="1"/>
    <col min="4" max="4" width="49.6640625" customWidth="1"/>
    <col min="5" max="5" width="15.6640625" style="205" customWidth="1"/>
    <col min="6" max="6" width="21" style="128" customWidth="1"/>
    <col min="7" max="7" width="11" style="129" customWidth="1"/>
    <col min="8" max="8" width="11" style="128" customWidth="1"/>
    <col min="9" max="9" width="11" style="129" customWidth="1"/>
    <col min="10" max="10" width="10.33203125" style="128" customWidth="1"/>
    <col min="11" max="11" width="15.44140625" style="177" customWidth="1"/>
    <col min="12" max="18" width="15.44140625" style="128" customWidth="1"/>
    <col min="19" max="19" width="11" style="128" customWidth="1"/>
    <col min="20" max="37" width="7.6640625" style="41" customWidth="1"/>
    <col min="38" max="40" width="9.109375" style="41" customWidth="1"/>
    <col min="41" max="41" width="9.109375" style="29" customWidth="1"/>
    <col min="42" max="42" width="7.6640625" style="23" customWidth="1"/>
    <col min="43" max="59" width="7.6640625" style="41" customWidth="1"/>
    <col min="60" max="63" width="9.109375" customWidth="1"/>
    <col min="64" max="64" width="25.6640625" style="217" bestFit="1" customWidth="1"/>
    <col min="65" max="65" width="15.33203125" style="29" customWidth="1"/>
    <col min="66" max="70" width="12.6640625" style="8" bestFit="1" customWidth="1"/>
    <col min="71" max="71" width="7.5546875" style="26" customWidth="1"/>
    <col min="72" max="74" width="7.5546875" style="77" customWidth="1"/>
    <col min="75" max="75" width="7.5546875" style="68" customWidth="1"/>
    <col min="76" max="76" width="7.5546875" style="229" customWidth="1"/>
    <col min="77" max="79" width="7.5546875" style="242" customWidth="1"/>
    <col min="80" max="80" width="7.5546875" style="231" customWidth="1"/>
    <col min="81" max="81" width="8.88671875" style="26"/>
    <col min="82" max="84" width="8.88671875" style="8"/>
    <col min="85" max="85" width="8.88671875" style="68"/>
    <col min="86" max="86" width="8.88671875" style="26"/>
    <col min="87" max="89" width="8.88671875" style="8"/>
    <col min="90" max="90" width="8.88671875" style="68"/>
  </cols>
  <sheetData>
    <row r="1" spans="1:90" s="89" customFormat="1" ht="62.4" customHeight="1" thickBot="1" x14ac:dyDescent="0.35">
      <c r="E1" s="573"/>
      <c r="F1" s="574"/>
      <c r="G1" s="575"/>
      <c r="H1" s="249"/>
      <c r="I1" s="251"/>
      <c r="J1" s="252"/>
      <c r="K1" s="426"/>
      <c r="L1" s="676" t="s">
        <v>1091</v>
      </c>
      <c r="M1" s="677"/>
      <c r="N1" s="677"/>
      <c r="O1" s="678"/>
      <c r="P1" s="197"/>
      <c r="Q1" s="197"/>
      <c r="R1" s="197"/>
      <c r="S1" s="250"/>
      <c r="T1" s="683" t="s">
        <v>709</v>
      </c>
      <c r="U1" s="684"/>
      <c r="V1" s="684"/>
      <c r="W1" s="684"/>
      <c r="X1" s="684"/>
      <c r="Y1" s="684"/>
      <c r="Z1" s="684"/>
      <c r="AA1" s="684"/>
      <c r="AB1" s="684"/>
      <c r="AC1" s="684"/>
      <c r="AD1" s="684"/>
      <c r="AE1" s="684"/>
      <c r="AF1" s="684"/>
      <c r="AG1" s="684"/>
      <c r="AH1" s="684"/>
      <c r="AI1" s="684"/>
      <c r="AJ1" s="684"/>
      <c r="AK1" s="684"/>
      <c r="AL1" s="684" t="s">
        <v>1280</v>
      </c>
      <c r="AM1" s="684"/>
      <c r="AN1" s="684"/>
      <c r="AO1" s="685"/>
      <c r="AP1" s="683" t="s">
        <v>893</v>
      </c>
      <c r="AQ1" s="684"/>
      <c r="AR1" s="684"/>
      <c r="AS1" s="684"/>
      <c r="AT1" s="684"/>
      <c r="AU1" s="684"/>
      <c r="AV1" s="684"/>
      <c r="AW1" s="684"/>
      <c r="AX1" s="684"/>
      <c r="AY1" s="684"/>
      <c r="AZ1" s="684"/>
      <c r="BA1" s="684"/>
      <c r="BB1" s="684"/>
      <c r="BC1" s="684"/>
      <c r="BD1" s="684"/>
      <c r="BE1" s="684"/>
      <c r="BF1" s="684"/>
      <c r="BG1" s="684"/>
      <c r="BH1" s="684" t="s">
        <v>1281</v>
      </c>
      <c r="BI1" s="684"/>
      <c r="BJ1" s="684"/>
      <c r="BK1" s="685"/>
      <c r="BL1" s="212"/>
      <c r="BM1" s="213"/>
      <c r="BN1" s="686" t="s">
        <v>1285</v>
      </c>
      <c r="BO1" s="687"/>
      <c r="BP1" s="687"/>
      <c r="BQ1" s="687"/>
      <c r="BR1" s="688"/>
      <c r="BS1" s="679" t="s">
        <v>544</v>
      </c>
      <c r="BT1" s="672"/>
      <c r="BU1" s="672"/>
      <c r="BV1" s="672"/>
      <c r="BW1" s="673"/>
      <c r="BX1" s="680" t="s">
        <v>695</v>
      </c>
      <c r="BY1" s="681"/>
      <c r="BZ1" s="681"/>
      <c r="CA1" s="681"/>
      <c r="CB1" s="682"/>
      <c r="CC1" s="679" t="s">
        <v>545</v>
      </c>
      <c r="CD1" s="672"/>
      <c r="CE1" s="672"/>
      <c r="CF1" s="672"/>
      <c r="CG1" s="673"/>
      <c r="CH1" s="679" t="s">
        <v>546</v>
      </c>
      <c r="CI1" s="672"/>
      <c r="CJ1" s="672"/>
      <c r="CK1" s="672"/>
      <c r="CL1" s="673"/>
    </row>
    <row r="2" spans="1:90" s="98" customFormat="1" ht="58.2" customHeight="1" thickBot="1" x14ac:dyDescent="0.35">
      <c r="A2" s="471" t="s">
        <v>0</v>
      </c>
      <c r="B2" s="472" t="s">
        <v>1</v>
      </c>
      <c r="C2" s="472" t="s">
        <v>2</v>
      </c>
      <c r="D2" s="472" t="s">
        <v>3</v>
      </c>
      <c r="E2" s="477" t="s">
        <v>357</v>
      </c>
      <c r="F2" s="474" t="s">
        <v>358</v>
      </c>
      <c r="G2" s="473" t="s">
        <v>352</v>
      </c>
      <c r="H2" s="421" t="s">
        <v>1107</v>
      </c>
      <c r="I2" s="401" t="s">
        <v>1108</v>
      </c>
      <c r="J2" s="401" t="s">
        <v>735</v>
      </c>
      <c r="K2" s="475" t="s">
        <v>1109</v>
      </c>
      <c r="L2" s="401" t="s">
        <v>895</v>
      </c>
      <c r="M2" s="401" t="s">
        <v>896</v>
      </c>
      <c r="N2" s="401" t="s">
        <v>897</v>
      </c>
      <c r="O2" s="401" t="s">
        <v>898</v>
      </c>
      <c r="P2" s="197" t="s">
        <v>907</v>
      </c>
      <c r="Q2" s="197" t="s">
        <v>908</v>
      </c>
      <c r="R2" s="197" t="s">
        <v>909</v>
      </c>
      <c r="S2" s="197" t="s">
        <v>894</v>
      </c>
      <c r="T2" s="2" t="s">
        <v>712</v>
      </c>
      <c r="U2" s="2" t="s">
        <v>5</v>
      </c>
      <c r="V2" s="2" t="s">
        <v>6</v>
      </c>
      <c r="W2" s="3" t="s">
        <v>711</v>
      </c>
      <c r="X2" s="3" t="s">
        <v>5</v>
      </c>
      <c r="Y2" s="3" t="s">
        <v>6</v>
      </c>
      <c r="Z2" s="4" t="s">
        <v>710</v>
      </c>
      <c r="AA2" s="4" t="s">
        <v>5</v>
      </c>
      <c r="AB2" s="4" t="s">
        <v>6</v>
      </c>
      <c r="AC2" s="5" t="s">
        <v>9</v>
      </c>
      <c r="AD2" s="5" t="s">
        <v>5</v>
      </c>
      <c r="AE2" s="5" t="s">
        <v>6</v>
      </c>
      <c r="AF2" s="6" t="s">
        <v>731</v>
      </c>
      <c r="AG2" s="6" t="s">
        <v>5</v>
      </c>
      <c r="AH2" s="6" t="s">
        <v>11</v>
      </c>
      <c r="AI2" s="6" t="s">
        <v>732</v>
      </c>
      <c r="AJ2" s="6" t="s">
        <v>5</v>
      </c>
      <c r="AK2" s="6" t="s">
        <v>6</v>
      </c>
      <c r="AL2" s="103" t="s">
        <v>71</v>
      </c>
      <c r="AM2" s="103" t="s">
        <v>72</v>
      </c>
      <c r="AN2" s="103" t="s">
        <v>73</v>
      </c>
      <c r="AO2" s="104" t="s">
        <v>74</v>
      </c>
      <c r="AP2" s="84" t="s">
        <v>712</v>
      </c>
      <c r="AQ2" s="2" t="s">
        <v>5</v>
      </c>
      <c r="AR2" s="2" t="s">
        <v>6</v>
      </c>
      <c r="AS2" s="3" t="s">
        <v>711</v>
      </c>
      <c r="AT2" s="3" t="s">
        <v>5</v>
      </c>
      <c r="AU2" s="3" t="s">
        <v>6</v>
      </c>
      <c r="AV2" s="4" t="s">
        <v>710</v>
      </c>
      <c r="AW2" s="4" t="s">
        <v>5</v>
      </c>
      <c r="AX2" s="4" t="s">
        <v>6</v>
      </c>
      <c r="AY2" s="5" t="s">
        <v>9</v>
      </c>
      <c r="AZ2" s="5" t="s">
        <v>5</v>
      </c>
      <c r="BA2" s="5" t="s">
        <v>6</v>
      </c>
      <c r="BB2" s="6" t="s">
        <v>731</v>
      </c>
      <c r="BC2" s="6" t="s">
        <v>5</v>
      </c>
      <c r="BD2" s="6" t="s">
        <v>11</v>
      </c>
      <c r="BE2" s="6" t="s">
        <v>732</v>
      </c>
      <c r="BF2" s="6" t="s">
        <v>5</v>
      </c>
      <c r="BG2" s="6" t="s">
        <v>6</v>
      </c>
      <c r="BH2" s="101" t="s">
        <v>67</v>
      </c>
      <c r="BI2" s="101" t="s">
        <v>68</v>
      </c>
      <c r="BJ2" s="101" t="s">
        <v>69</v>
      </c>
      <c r="BK2" s="102" t="s">
        <v>70</v>
      </c>
      <c r="BL2" s="119" t="s">
        <v>694</v>
      </c>
      <c r="BM2" s="214" t="s">
        <v>744</v>
      </c>
      <c r="BN2" s="447" t="s">
        <v>1098</v>
      </c>
      <c r="BO2" s="448" t="s">
        <v>1099</v>
      </c>
      <c r="BP2" s="448" t="s">
        <v>1100</v>
      </c>
      <c r="BQ2" s="448" t="s">
        <v>1101</v>
      </c>
      <c r="BR2" s="448" t="s">
        <v>1102</v>
      </c>
      <c r="BS2" s="99" t="s">
        <v>75</v>
      </c>
      <c r="BT2" s="100" t="s">
        <v>76</v>
      </c>
      <c r="BU2" s="100" t="s">
        <v>77</v>
      </c>
      <c r="BV2" s="100" t="s">
        <v>78</v>
      </c>
      <c r="BW2" s="105" t="s">
        <v>79</v>
      </c>
      <c r="BX2" s="209" t="s">
        <v>176</v>
      </c>
      <c r="BY2" s="106" t="s">
        <v>177</v>
      </c>
      <c r="BZ2" s="106" t="s">
        <v>178</v>
      </c>
      <c r="CA2" s="106" t="s">
        <v>179</v>
      </c>
      <c r="CB2" s="210" t="s">
        <v>180</v>
      </c>
      <c r="CC2" s="99" t="s">
        <v>176</v>
      </c>
      <c r="CD2" s="100" t="s">
        <v>177</v>
      </c>
      <c r="CE2" s="100" t="s">
        <v>178</v>
      </c>
      <c r="CF2" s="100" t="s">
        <v>179</v>
      </c>
      <c r="CG2" s="105" t="s">
        <v>180</v>
      </c>
      <c r="CH2" s="99" t="s">
        <v>75</v>
      </c>
      <c r="CI2" s="100" t="s">
        <v>76</v>
      </c>
      <c r="CJ2" s="100" t="s">
        <v>77</v>
      </c>
      <c r="CK2" s="100" t="s">
        <v>78</v>
      </c>
      <c r="CL2" s="105" t="s">
        <v>79</v>
      </c>
    </row>
    <row r="3" spans="1:90" ht="15" customHeight="1" x14ac:dyDescent="0.3">
      <c r="A3" t="s">
        <v>547</v>
      </c>
      <c r="B3" s="67" t="s">
        <v>683</v>
      </c>
      <c r="C3" s="80" t="s">
        <v>684</v>
      </c>
      <c r="D3" s="80" t="s">
        <v>685</v>
      </c>
      <c r="E3" s="205" t="s">
        <v>186</v>
      </c>
      <c r="F3" s="153" t="s">
        <v>747</v>
      </c>
      <c r="G3" s="200" t="s">
        <v>211</v>
      </c>
      <c r="H3" s="198"/>
      <c r="I3" s="153"/>
      <c r="J3" s="154" t="s">
        <v>188</v>
      </c>
      <c r="K3" s="423" t="s">
        <v>188</v>
      </c>
      <c r="L3" s="199"/>
      <c r="M3" s="199"/>
      <c r="N3" s="199"/>
      <c r="O3" s="199"/>
      <c r="P3" s="199"/>
      <c r="Q3" s="199"/>
      <c r="R3" s="199"/>
      <c r="S3" s="126"/>
      <c r="T3" s="85"/>
      <c r="U3" s="85"/>
      <c r="V3" s="85"/>
      <c r="W3" s="85"/>
      <c r="X3" s="85"/>
      <c r="Y3" s="85"/>
      <c r="Z3" s="85"/>
      <c r="AA3" s="85"/>
      <c r="AB3" s="85"/>
      <c r="AC3" s="85"/>
      <c r="AD3" s="85"/>
      <c r="AE3" s="85"/>
      <c r="AF3" s="85"/>
      <c r="AG3" s="85"/>
      <c r="AH3" s="85"/>
      <c r="AI3" s="85"/>
      <c r="AJ3" s="85"/>
      <c r="AK3" s="85"/>
      <c r="AL3" s="71">
        <v>66.185431163446154</v>
      </c>
      <c r="AM3" s="71">
        <v>19.797688101118556</v>
      </c>
      <c r="AN3" s="71">
        <v>14.016880735435292</v>
      </c>
      <c r="AO3" s="72">
        <v>33.814568836553846</v>
      </c>
      <c r="AP3" s="85"/>
      <c r="AQ3" s="85"/>
      <c r="AR3" s="85"/>
      <c r="AS3" s="85"/>
      <c r="AT3" s="85"/>
      <c r="AU3" s="85"/>
      <c r="AV3" s="85"/>
      <c r="AW3" s="85"/>
      <c r="AX3" s="85"/>
      <c r="AY3" s="85"/>
      <c r="AZ3" s="85"/>
      <c r="BA3" s="85"/>
      <c r="BB3" s="85"/>
      <c r="BC3" s="85"/>
      <c r="BD3" s="85"/>
      <c r="BE3" s="85"/>
      <c r="BF3" s="85"/>
      <c r="BG3" s="85"/>
      <c r="BH3" s="24">
        <v>72.915846017185444</v>
      </c>
      <c r="BI3" s="24">
        <v>13.067273247379257</v>
      </c>
      <c r="BJ3" s="24">
        <v>14.016880735435292</v>
      </c>
      <c r="BK3" s="25">
        <v>27.084153982814549</v>
      </c>
      <c r="BL3" s="215" t="s">
        <v>552</v>
      </c>
      <c r="BN3" s="218">
        <v>0.22842656315572399</v>
      </c>
      <c r="BO3" s="218">
        <v>6.7150407984027796</v>
      </c>
      <c r="BP3" s="218">
        <v>13.037424124202101</v>
      </c>
      <c r="BQ3" s="218">
        <v>9.9992039992192296</v>
      </c>
      <c r="BR3" s="218">
        <v>3.9856584572904699</v>
      </c>
      <c r="BS3" s="220" t="s">
        <v>220</v>
      </c>
      <c r="BT3" s="221" t="s">
        <v>220</v>
      </c>
      <c r="BU3" s="221" t="s">
        <v>220</v>
      </c>
      <c r="BV3" s="221" t="s">
        <v>220</v>
      </c>
      <c r="BW3" s="222" t="s">
        <v>220</v>
      </c>
      <c r="BX3" s="220">
        <v>0.22842656315572399</v>
      </c>
      <c r="BY3" s="221">
        <v>6.7150407984027796</v>
      </c>
      <c r="BZ3" s="221">
        <v>13.037424124202101</v>
      </c>
      <c r="CA3" s="221">
        <v>9.9992039992192296</v>
      </c>
      <c r="CB3" s="222">
        <v>3.9856584572904699</v>
      </c>
      <c r="CC3" s="223">
        <v>0.42974131999999998</v>
      </c>
      <c r="CD3" s="224">
        <v>5.4769271110000002</v>
      </c>
      <c r="CE3" s="224">
        <v>10.56237805</v>
      </c>
      <c r="CF3" s="224">
        <v>7.9893396030000003</v>
      </c>
      <c r="CG3" s="225">
        <v>3.038851218</v>
      </c>
      <c r="CH3" s="26" t="s">
        <v>220</v>
      </c>
      <c r="CI3" s="8" t="s">
        <v>220</v>
      </c>
      <c r="CJ3" s="8" t="s">
        <v>220</v>
      </c>
      <c r="CK3" s="8" t="s">
        <v>220</v>
      </c>
      <c r="CL3" s="68" t="s">
        <v>220</v>
      </c>
    </row>
    <row r="4" spans="1:90" ht="15" customHeight="1" x14ac:dyDescent="0.3">
      <c r="A4" t="s">
        <v>547</v>
      </c>
      <c r="B4" t="s">
        <v>580</v>
      </c>
      <c r="C4" s="80" t="s">
        <v>662</v>
      </c>
      <c r="D4" s="80" t="s">
        <v>663</v>
      </c>
      <c r="E4" s="205" t="s">
        <v>186</v>
      </c>
      <c r="F4" s="153" t="s">
        <v>747</v>
      </c>
      <c r="G4" s="200" t="s">
        <v>211</v>
      </c>
      <c r="H4" s="198"/>
      <c r="I4" s="153"/>
      <c r="J4" s="154" t="s">
        <v>188</v>
      </c>
      <c r="K4" s="423" t="s">
        <v>188</v>
      </c>
      <c r="L4" s="199"/>
      <c r="M4" s="199"/>
      <c r="N4" s="199"/>
      <c r="Q4" s="199"/>
      <c r="R4" s="199"/>
      <c r="S4" s="126"/>
      <c r="T4" s="85"/>
      <c r="U4" s="85"/>
      <c r="V4" s="85"/>
      <c r="W4" s="85"/>
      <c r="X4" s="85"/>
      <c r="Y4" s="85"/>
      <c r="Z4" s="85"/>
      <c r="AA4" s="85"/>
      <c r="AB4" s="85"/>
      <c r="AC4" s="85"/>
      <c r="AD4" s="85"/>
      <c r="AE4" s="85"/>
      <c r="AF4" s="85"/>
      <c r="AG4" s="85"/>
      <c r="AH4" s="85"/>
      <c r="AI4" s="85"/>
      <c r="AJ4" s="85"/>
      <c r="AK4" s="85"/>
      <c r="AL4" s="71">
        <v>88.806448237845473</v>
      </c>
      <c r="AM4" s="71">
        <v>7.8540522231266783</v>
      </c>
      <c r="AN4" s="71">
        <v>3.339499539027857</v>
      </c>
      <c r="AO4" s="72">
        <v>11.193551762154534</v>
      </c>
      <c r="AP4" s="85"/>
      <c r="AQ4" s="85"/>
      <c r="AR4" s="85"/>
      <c r="AS4" s="85"/>
      <c r="AT4" s="85"/>
      <c r="AU4" s="85"/>
      <c r="AV4" s="85"/>
      <c r="AW4" s="85"/>
      <c r="AX4" s="85"/>
      <c r="AY4" s="85"/>
      <c r="AZ4" s="85"/>
      <c r="BA4" s="85"/>
      <c r="BB4" s="85"/>
      <c r="BC4" s="85"/>
      <c r="BD4" s="85"/>
      <c r="BE4" s="85"/>
      <c r="BF4" s="85"/>
      <c r="BG4" s="85"/>
      <c r="BH4" s="24">
        <v>91.573740627079459</v>
      </c>
      <c r="BI4" s="24">
        <v>5.0867598338926827</v>
      </c>
      <c r="BJ4" s="24">
        <v>3.339499539027857</v>
      </c>
      <c r="BK4" s="25">
        <v>8.4262593729205406</v>
      </c>
      <c r="BL4" s="215" t="s">
        <v>552</v>
      </c>
      <c r="BN4" s="218">
        <v>6.2469291467437599E-2</v>
      </c>
      <c r="BO4" s="218">
        <v>2.7655636812856099</v>
      </c>
      <c r="BP4" s="218">
        <v>5.0835821710657996</v>
      </c>
      <c r="BQ4" s="218">
        <v>2.8978177932370199</v>
      </c>
      <c r="BR4" s="218">
        <v>0.43959558409024801</v>
      </c>
      <c r="BS4" s="220" t="s">
        <v>220</v>
      </c>
      <c r="BT4" s="221" t="s">
        <v>220</v>
      </c>
      <c r="BU4" s="221" t="s">
        <v>220</v>
      </c>
      <c r="BV4" s="221" t="s">
        <v>220</v>
      </c>
      <c r="BW4" s="222" t="s">
        <v>220</v>
      </c>
      <c r="BX4" s="220">
        <v>6.2469291467437599E-2</v>
      </c>
      <c r="BY4" s="221">
        <v>2.7655636812856099</v>
      </c>
      <c r="BZ4" s="221">
        <v>5.0835821710657996</v>
      </c>
      <c r="CA4" s="221">
        <v>2.8978177932370199</v>
      </c>
      <c r="CB4" s="222">
        <v>0.43959558409024801</v>
      </c>
      <c r="CC4" s="223">
        <v>0.114410584</v>
      </c>
      <c r="CD4" s="224">
        <v>2.217144937</v>
      </c>
      <c r="CE4" s="224">
        <v>4.3011255669999997</v>
      </c>
      <c r="CF4" s="224">
        <v>2.447425204</v>
      </c>
      <c r="CG4" s="225">
        <v>0.36805790399999999</v>
      </c>
      <c r="CH4" s="26" t="s">
        <v>220</v>
      </c>
      <c r="CI4" s="8" t="s">
        <v>220</v>
      </c>
      <c r="CJ4" s="8" t="s">
        <v>220</v>
      </c>
      <c r="CK4" s="8" t="s">
        <v>220</v>
      </c>
      <c r="CL4" s="68" t="s">
        <v>220</v>
      </c>
    </row>
    <row r="5" spans="1:90" ht="14.4" customHeight="1" x14ac:dyDescent="0.3">
      <c r="A5" s="211" t="s">
        <v>547</v>
      </c>
      <c r="B5" s="245" t="s">
        <v>548</v>
      </c>
      <c r="C5" s="245" t="s">
        <v>549</v>
      </c>
      <c r="D5" s="245" t="s">
        <v>550</v>
      </c>
      <c r="E5" s="253" t="s">
        <v>186</v>
      </c>
      <c r="F5" s="128" t="s">
        <v>1004</v>
      </c>
      <c r="G5" s="198" t="s">
        <v>211</v>
      </c>
      <c r="H5" s="198" t="s">
        <v>551</v>
      </c>
      <c r="I5" s="153"/>
      <c r="J5" s="154" t="s">
        <v>188</v>
      </c>
      <c r="K5" s="423" t="s">
        <v>188</v>
      </c>
      <c r="L5" s="199"/>
      <c r="M5" s="199"/>
      <c r="N5" s="199"/>
      <c r="O5" s="199"/>
      <c r="P5" s="199"/>
      <c r="Q5" s="424" t="s">
        <v>999</v>
      </c>
      <c r="R5" s="429" t="s">
        <v>999</v>
      </c>
      <c r="S5" s="126">
        <v>1</v>
      </c>
      <c r="T5" s="65">
        <v>-17.600118104599233</v>
      </c>
      <c r="U5" s="65">
        <v>-20.980313523887077</v>
      </c>
      <c r="V5" s="65">
        <v>-13.222937869387337</v>
      </c>
      <c r="W5" s="65">
        <v>-21.358297682749196</v>
      </c>
      <c r="X5" s="65">
        <v>-30.419695764417952</v>
      </c>
      <c r="Y5" s="65">
        <v>-11.805561768619086</v>
      </c>
      <c r="Z5" s="65">
        <v>-10.538520664272113</v>
      </c>
      <c r="AA5" s="65">
        <v>-29.636149080504282</v>
      </c>
      <c r="AB5" s="65">
        <v>3.8442531217736757</v>
      </c>
      <c r="AC5" s="65">
        <v>0</v>
      </c>
      <c r="AD5" s="65">
        <v>0</v>
      </c>
      <c r="AE5" s="65">
        <v>0</v>
      </c>
      <c r="AF5" s="65">
        <v>-4.2857142857142918</v>
      </c>
      <c r="AG5" s="65">
        <v>-12.397660818713462</v>
      </c>
      <c r="AH5" s="65">
        <v>1.4202172096908896</v>
      </c>
      <c r="AI5" s="65">
        <v>-4</v>
      </c>
      <c r="AJ5" s="65">
        <v>-21.085557029829474</v>
      </c>
      <c r="AK5" s="65">
        <v>8.2660081576490256</v>
      </c>
      <c r="AL5" s="71">
        <v>65.000805132442011</v>
      </c>
      <c r="AM5" s="71">
        <v>17.244918978683511</v>
      </c>
      <c r="AN5" s="71">
        <v>17.754275888874478</v>
      </c>
      <c r="AO5" s="72">
        <v>34.999194867557989</v>
      </c>
      <c r="AP5" s="77">
        <v>-16.102342521382013</v>
      </c>
      <c r="AQ5" s="8">
        <v>-18.854483386866619</v>
      </c>
      <c r="AR5" s="8">
        <v>-12.427989328368014</v>
      </c>
      <c r="AS5" s="8">
        <v>-19.919756162145077</v>
      </c>
      <c r="AT5" s="8">
        <v>-28.781233096815527</v>
      </c>
      <c r="AU5" s="8">
        <v>-10.960598009956712</v>
      </c>
      <c r="AV5" s="8">
        <v>-10.183116288593425</v>
      </c>
      <c r="AW5" s="8">
        <v>-29.143492491632301</v>
      </c>
      <c r="AX5" s="8">
        <v>3.9884740482156076</v>
      </c>
      <c r="AY5" s="65">
        <v>0</v>
      </c>
      <c r="AZ5" s="65">
        <v>0</v>
      </c>
      <c r="BA5" s="65">
        <v>0</v>
      </c>
      <c r="BB5" s="65">
        <v>-4.2857142857142918</v>
      </c>
      <c r="BC5" s="65">
        <v>-12.397660818713462</v>
      </c>
      <c r="BD5" s="65">
        <v>1.4202172096908896</v>
      </c>
      <c r="BE5" s="65">
        <v>-4</v>
      </c>
      <c r="BF5" s="65">
        <v>-21.085557029829474</v>
      </c>
      <c r="BG5" s="65">
        <v>8.2660081576490256</v>
      </c>
      <c r="BH5" s="24">
        <v>70.924211393753055</v>
      </c>
      <c r="BI5" s="24">
        <v>11.321512717372473</v>
      </c>
      <c r="BJ5" s="24">
        <v>17.754275888874478</v>
      </c>
      <c r="BK5" s="25">
        <v>29.075788606246952</v>
      </c>
      <c r="BL5" s="215" t="s">
        <v>552</v>
      </c>
      <c r="BN5" s="218">
        <v>0.36951347995643802</v>
      </c>
      <c r="BO5" s="218">
        <v>5.9015184767029103</v>
      </c>
      <c r="BP5" s="218">
        <v>11.279678201746799</v>
      </c>
      <c r="BQ5" s="218">
        <v>10.9107034174333</v>
      </c>
      <c r="BR5" s="218">
        <v>6.7779680287631301</v>
      </c>
      <c r="BS5" s="220" t="s">
        <v>220</v>
      </c>
      <c r="BT5" s="221" t="s">
        <v>220</v>
      </c>
      <c r="BU5" s="221" t="s">
        <v>220</v>
      </c>
      <c r="BV5" s="221" t="s">
        <v>220</v>
      </c>
      <c r="BW5" s="222" t="s">
        <v>220</v>
      </c>
      <c r="BX5" s="220">
        <v>0.36951347995643802</v>
      </c>
      <c r="BY5" s="221">
        <v>5.9015184767029103</v>
      </c>
      <c r="BZ5" s="221">
        <v>11.279678201746799</v>
      </c>
      <c r="CA5" s="221">
        <v>10.9107034174333</v>
      </c>
      <c r="CB5" s="222">
        <v>6.7779680287631301</v>
      </c>
      <c r="CC5" s="223">
        <v>0.64563581999999997</v>
      </c>
      <c r="CD5" s="224">
        <v>5.1933967550000002</v>
      </c>
      <c r="CE5" s="224">
        <v>9.5187048740000009</v>
      </c>
      <c r="CF5" s="224">
        <v>9.1064648510000001</v>
      </c>
      <c r="CG5" s="225">
        <v>5.5840230310000001</v>
      </c>
      <c r="CH5" s="26" t="s">
        <v>220</v>
      </c>
      <c r="CI5" s="8" t="s">
        <v>220</v>
      </c>
      <c r="CJ5" s="8" t="s">
        <v>220</v>
      </c>
      <c r="CK5" s="8" t="s">
        <v>220</v>
      </c>
      <c r="CL5" s="68" t="s">
        <v>220</v>
      </c>
    </row>
    <row r="6" spans="1:90" ht="15" customHeight="1" x14ac:dyDescent="0.3">
      <c r="A6" s="211" t="s">
        <v>547</v>
      </c>
      <c r="B6" s="211" t="s">
        <v>548</v>
      </c>
      <c r="C6" s="246" t="s">
        <v>553</v>
      </c>
      <c r="D6" s="245" t="s">
        <v>554</v>
      </c>
      <c r="E6" s="205" t="s">
        <v>186</v>
      </c>
      <c r="F6" s="128" t="s">
        <v>1005</v>
      </c>
      <c r="G6" s="198" t="s">
        <v>211</v>
      </c>
      <c r="H6" s="198" t="s">
        <v>555</v>
      </c>
      <c r="I6" s="153" t="s">
        <v>201</v>
      </c>
      <c r="J6" s="154" t="s">
        <v>346</v>
      </c>
      <c r="K6" s="423" t="s">
        <v>227</v>
      </c>
      <c r="L6" s="199"/>
      <c r="M6" s="428" t="s">
        <v>201</v>
      </c>
      <c r="N6" s="199" t="s">
        <v>187</v>
      </c>
      <c r="O6" s="199"/>
      <c r="P6" s="199">
        <v>1748</v>
      </c>
      <c r="Q6" s="424" t="s">
        <v>1009</v>
      </c>
      <c r="R6" s="429" t="s">
        <v>1013</v>
      </c>
      <c r="S6" s="126">
        <v>2</v>
      </c>
      <c r="T6" s="65">
        <v>-3.0071969160342178</v>
      </c>
      <c r="U6" s="65">
        <v>-4.5868806857447595</v>
      </c>
      <c r="V6" s="65">
        <v>-1.8381230375571391</v>
      </c>
      <c r="W6" s="65">
        <v>-7.6874804279510442</v>
      </c>
      <c r="X6" s="65">
        <v>-14.613205805921197</v>
      </c>
      <c r="Y6" s="65">
        <v>-0.78736346046645167</v>
      </c>
      <c r="Z6" s="65">
        <v>-16.50115905343371</v>
      </c>
      <c r="AA6" s="65">
        <v>-29.621433428347885</v>
      </c>
      <c r="AB6" s="65">
        <v>-0.35125944038510681</v>
      </c>
      <c r="AC6" s="65">
        <v>0</v>
      </c>
      <c r="AD6" s="65">
        <v>0</v>
      </c>
      <c r="AE6" s="65">
        <v>0</v>
      </c>
      <c r="AF6" s="65">
        <v>-4.8571428571428612</v>
      </c>
      <c r="AG6" s="65">
        <v>-11.111111111111114</v>
      </c>
      <c r="AH6" s="65">
        <v>1.1428571428571388</v>
      </c>
      <c r="AI6" s="65">
        <v>-15.285714285714292</v>
      </c>
      <c r="AJ6" s="65">
        <v>-28.08044243338361</v>
      </c>
      <c r="AK6" s="65">
        <v>0.74524168641815436</v>
      </c>
      <c r="AL6" s="71">
        <v>90.135178554217774</v>
      </c>
      <c r="AM6" s="71">
        <v>9.5793643768959811</v>
      </c>
      <c r="AN6" s="71">
        <v>0.28545706888623901</v>
      </c>
      <c r="AO6" s="72">
        <v>9.8648214457822192</v>
      </c>
      <c r="AP6" s="77">
        <v>-1.6004969456987368</v>
      </c>
      <c r="AQ6" s="8">
        <v>-2.3919306375839682</v>
      </c>
      <c r="AR6" s="8">
        <v>-1.0073577859922977</v>
      </c>
      <c r="AS6" s="8">
        <v>-6.3639351356649598</v>
      </c>
      <c r="AT6" s="8">
        <v>-12.956491836635635</v>
      </c>
      <c r="AU6" s="8">
        <v>9.2800208516621296E-2</v>
      </c>
      <c r="AV6" s="8">
        <v>-15.960653646112689</v>
      </c>
      <c r="AW6" s="8">
        <v>-28.926520799111785</v>
      </c>
      <c r="AX6" s="8">
        <v>0.13432563571709011</v>
      </c>
      <c r="AY6" s="65">
        <v>0</v>
      </c>
      <c r="AZ6" s="65">
        <v>0</v>
      </c>
      <c r="BA6" s="65">
        <v>0</v>
      </c>
      <c r="BB6" s="65">
        <v>-4.8571428571428612</v>
      </c>
      <c r="BC6" s="65">
        <v>-11.111111111111114</v>
      </c>
      <c r="BD6" s="65">
        <v>1.1428571428571388</v>
      </c>
      <c r="BE6" s="65">
        <v>-15.285714285714292</v>
      </c>
      <c r="BF6" s="65">
        <v>-28.08044243338361</v>
      </c>
      <c r="BG6" s="65">
        <v>0.74524168641815436</v>
      </c>
      <c r="BH6" s="24">
        <v>94.985868107098725</v>
      </c>
      <c r="BI6" s="24">
        <v>4.7286748240150303</v>
      </c>
      <c r="BJ6" s="24">
        <v>0.28545706888623901</v>
      </c>
      <c r="BK6" s="25">
        <v>5.0141318929012693</v>
      </c>
      <c r="BL6" s="215" t="s">
        <v>556</v>
      </c>
      <c r="BM6" s="29" t="s">
        <v>691</v>
      </c>
      <c r="BN6" s="218">
        <v>0</v>
      </c>
      <c r="BO6" s="218">
        <v>4.8506895528809499</v>
      </c>
      <c r="BP6" s="218">
        <v>4.7286748240150303</v>
      </c>
      <c r="BQ6" s="218">
        <v>0.28545706888623901</v>
      </c>
      <c r="BR6" s="218">
        <v>0</v>
      </c>
      <c r="BS6" s="220">
        <v>0</v>
      </c>
      <c r="BT6" s="221">
        <v>4.8506895528809499</v>
      </c>
      <c r="BU6" s="221">
        <v>4.7286748240150303</v>
      </c>
      <c r="BV6" s="221">
        <v>0.28545706888623901</v>
      </c>
      <c r="BW6" s="222">
        <v>0</v>
      </c>
      <c r="BX6" s="220" t="s">
        <v>220</v>
      </c>
      <c r="BY6" s="221" t="s">
        <v>220</v>
      </c>
      <c r="BZ6" s="221" t="s">
        <v>220</v>
      </c>
      <c r="CA6" s="221" t="s">
        <v>220</v>
      </c>
      <c r="CB6" s="222" t="s">
        <v>220</v>
      </c>
      <c r="CC6" s="223" t="s">
        <v>220</v>
      </c>
      <c r="CD6" s="224" t="s">
        <v>220</v>
      </c>
      <c r="CE6" s="224" t="s">
        <v>220</v>
      </c>
      <c r="CF6" s="224" t="s">
        <v>220</v>
      </c>
      <c r="CG6" s="225" t="s">
        <v>220</v>
      </c>
      <c r="CH6" s="26">
        <v>0</v>
      </c>
      <c r="CI6" s="8">
        <v>4.6490856059999999</v>
      </c>
      <c r="CJ6" s="8">
        <v>4.646591033</v>
      </c>
      <c r="CK6" s="8">
        <v>0.49809062799999998</v>
      </c>
      <c r="CL6" s="68">
        <v>5.8876303999999997E-2</v>
      </c>
    </row>
    <row r="7" spans="1:90" ht="15" customHeight="1" x14ac:dyDescent="0.3">
      <c r="A7" s="211" t="s">
        <v>547</v>
      </c>
      <c r="B7" s="245" t="s">
        <v>548</v>
      </c>
      <c r="C7" s="246" t="s">
        <v>557</v>
      </c>
      <c r="D7" s="245" t="s">
        <v>746</v>
      </c>
      <c r="E7" s="254" t="s">
        <v>704</v>
      </c>
      <c r="F7" s="128" t="s">
        <v>1006</v>
      </c>
      <c r="G7" s="198" t="s">
        <v>211</v>
      </c>
      <c r="H7" s="198" t="s">
        <v>558</v>
      </c>
      <c r="I7" s="153"/>
      <c r="J7" s="154" t="s">
        <v>346</v>
      </c>
      <c r="K7" s="423" t="s">
        <v>188</v>
      </c>
      <c r="L7" s="199"/>
      <c r="M7" s="199"/>
      <c r="N7" s="199"/>
      <c r="O7" s="199"/>
      <c r="P7" s="199"/>
      <c r="Q7" s="424" t="s">
        <v>999</v>
      </c>
      <c r="R7" s="429" t="s">
        <v>999</v>
      </c>
      <c r="S7" s="126">
        <v>3</v>
      </c>
      <c r="T7" s="65">
        <v>-25.255320440309177</v>
      </c>
      <c r="U7" s="65">
        <v>-27.750608574819779</v>
      </c>
      <c r="V7" s="65">
        <v>-20.111151450896415</v>
      </c>
      <c r="W7" s="65">
        <v>-26.165638666722316</v>
      </c>
      <c r="X7" s="65">
        <v>-32.498996503910632</v>
      </c>
      <c r="Y7" s="65">
        <v>-16.376435985845148</v>
      </c>
      <c r="Z7" s="65">
        <v>-21.914228231639896</v>
      </c>
      <c r="AA7" s="65">
        <v>-36.938786496461255</v>
      </c>
      <c r="AB7" s="65">
        <v>-5.1225141573808912</v>
      </c>
      <c r="AC7" s="65">
        <v>0</v>
      </c>
      <c r="AD7" s="65">
        <v>0</v>
      </c>
      <c r="AE7" s="65">
        <v>0</v>
      </c>
      <c r="AF7" s="65">
        <v>-1.7142857142857082</v>
      </c>
      <c r="AG7" s="65">
        <v>-6.7062754926531909</v>
      </c>
      <c r="AH7" s="65">
        <v>3.7856405720182806</v>
      </c>
      <c r="AI7" s="65">
        <v>-6.7142857142857082</v>
      </c>
      <c r="AJ7" s="65">
        <v>-19.431667403803615</v>
      </c>
      <c r="AK7" s="65">
        <v>8.1446262715612647</v>
      </c>
      <c r="AL7" s="71">
        <v>60.561755491960106</v>
      </c>
      <c r="AM7" s="71">
        <v>20.329854728486897</v>
      </c>
      <c r="AN7" s="71">
        <v>19.108389779553001</v>
      </c>
      <c r="AO7" s="72">
        <v>39.438244508039901</v>
      </c>
      <c r="AP7" s="77">
        <v>-21.908808103395003</v>
      </c>
      <c r="AQ7" s="8">
        <v>-23.789015199996939</v>
      </c>
      <c r="AR7" s="8">
        <v>-18.005516887324092</v>
      </c>
      <c r="AS7" s="8">
        <v>-23.339909229500833</v>
      </c>
      <c r="AT7" s="8">
        <v>-29.100318957127769</v>
      </c>
      <c r="AU7" s="8">
        <v>-14.45363510842607</v>
      </c>
      <c r="AV7" s="8">
        <v>-20.583338599091888</v>
      </c>
      <c r="AW7" s="8">
        <v>-35.068034714541426</v>
      </c>
      <c r="AX7" s="8">
        <v>-3.8975904984029626</v>
      </c>
      <c r="AY7" s="65">
        <v>0</v>
      </c>
      <c r="AZ7" s="65">
        <v>0</v>
      </c>
      <c r="BA7" s="65">
        <v>0</v>
      </c>
      <c r="BB7" s="65">
        <v>-1.7142857142857082</v>
      </c>
      <c r="BC7" s="65">
        <v>-6.7062754926531909</v>
      </c>
      <c r="BD7" s="65">
        <v>3.7856405720182806</v>
      </c>
      <c r="BE7" s="65">
        <v>-6.7142857142857082</v>
      </c>
      <c r="BF7" s="65">
        <v>-19.431667403803615</v>
      </c>
      <c r="BG7" s="65">
        <v>8.1446262715612647</v>
      </c>
      <c r="BH7" s="24">
        <v>67.312644932420966</v>
      </c>
      <c r="BI7" s="24">
        <v>13.578965288026041</v>
      </c>
      <c r="BJ7" s="24">
        <v>19.108389779553001</v>
      </c>
      <c r="BK7" s="25">
        <v>32.687355067579041</v>
      </c>
      <c r="BL7" s="215" t="s">
        <v>556</v>
      </c>
      <c r="BN7" s="218">
        <v>0.42223699286056299</v>
      </c>
      <c r="BO7" s="218">
        <v>6.7223846878961098</v>
      </c>
      <c r="BP7" s="218">
        <v>13.5216298733323</v>
      </c>
      <c r="BQ7" s="218">
        <v>11.982613383628401</v>
      </c>
      <c r="BR7" s="218">
        <v>7.04509370553534</v>
      </c>
      <c r="BS7" s="220">
        <v>0.42223699286056299</v>
      </c>
      <c r="BT7" s="221">
        <v>6.7223846878961098</v>
      </c>
      <c r="BU7" s="221">
        <v>13.5216298733323</v>
      </c>
      <c r="BV7" s="221">
        <v>11.982613383628401</v>
      </c>
      <c r="BW7" s="222">
        <v>7.04509370553534</v>
      </c>
      <c r="BX7" s="220">
        <v>6.4452082690325097E-2</v>
      </c>
      <c r="BY7" s="221">
        <v>4.8475892339940199</v>
      </c>
      <c r="BZ7" s="221">
        <v>9.3204489633647594</v>
      </c>
      <c r="CA7" s="221">
        <v>7.7330751650747098</v>
      </c>
      <c r="CB7" s="222">
        <v>5.2225099953087097</v>
      </c>
      <c r="CC7" s="223">
        <v>8.6651201999999997E-2</v>
      </c>
      <c r="CD7" s="224">
        <v>4.3761865650000003</v>
      </c>
      <c r="CE7" s="224">
        <v>8.3395764319999994</v>
      </c>
      <c r="CF7" s="224">
        <v>6.9093802929999999</v>
      </c>
      <c r="CG7" s="225">
        <v>4.6578029709999997</v>
      </c>
      <c r="CH7" s="26">
        <v>1.0925409559999999</v>
      </c>
      <c r="CI7" s="8">
        <v>5.3276382419999999</v>
      </c>
      <c r="CJ7" s="8">
        <v>10.32016677</v>
      </c>
      <c r="CK7" s="8">
        <v>9.0162903700000001</v>
      </c>
      <c r="CL7" s="68">
        <v>5.1450094560000004</v>
      </c>
    </row>
    <row r="8" spans="1:90" ht="15" customHeight="1" x14ac:dyDescent="0.3">
      <c r="A8" s="211" t="s">
        <v>547</v>
      </c>
      <c r="B8" s="245" t="s">
        <v>548</v>
      </c>
      <c r="C8" s="245" t="s">
        <v>559</v>
      </c>
      <c r="D8" s="245" t="s">
        <v>560</v>
      </c>
      <c r="E8" s="253" t="s">
        <v>186</v>
      </c>
      <c r="F8" s="128" t="s">
        <v>1007</v>
      </c>
      <c r="G8" s="198" t="s">
        <v>211</v>
      </c>
      <c r="H8" s="198" t="s">
        <v>561</v>
      </c>
      <c r="I8" s="153"/>
      <c r="J8" s="154" t="s">
        <v>188</v>
      </c>
      <c r="K8" s="423" t="s">
        <v>188</v>
      </c>
      <c r="L8" s="199"/>
      <c r="M8" s="199"/>
      <c r="N8" s="199"/>
      <c r="O8" s="199"/>
      <c r="P8" s="199"/>
      <c r="Q8" s="424" t="s">
        <v>999</v>
      </c>
      <c r="R8" s="429" t="s">
        <v>999</v>
      </c>
      <c r="S8" s="126">
        <v>4</v>
      </c>
      <c r="T8" s="65">
        <v>-22.960327563204231</v>
      </c>
      <c r="U8" s="65">
        <v>-27.891175785078758</v>
      </c>
      <c r="V8" s="65">
        <v>-16.753521459132443</v>
      </c>
      <c r="W8" s="65">
        <v>-26.324094030233681</v>
      </c>
      <c r="X8" s="65">
        <v>-36.065482929210049</v>
      </c>
      <c r="Y8" s="65">
        <v>-15.73837506410203</v>
      </c>
      <c r="Z8" s="65">
        <v>-12.211756623454917</v>
      </c>
      <c r="AA8" s="65">
        <v>-32.197543004235044</v>
      </c>
      <c r="AB8" s="65">
        <v>2.9672810254651836</v>
      </c>
      <c r="AC8" s="65">
        <v>0</v>
      </c>
      <c r="AD8" s="65">
        <v>0</v>
      </c>
      <c r="AE8" s="65">
        <v>0</v>
      </c>
      <c r="AF8" s="65">
        <v>-4.2857142857142918</v>
      </c>
      <c r="AG8" s="65">
        <v>-12.397660818713462</v>
      </c>
      <c r="AH8" s="65">
        <v>1.4202172096908896</v>
      </c>
      <c r="AI8" s="65">
        <v>-4</v>
      </c>
      <c r="AJ8" s="65">
        <v>-21.085557029829474</v>
      </c>
      <c r="AK8" s="65">
        <v>8.2660081576490256</v>
      </c>
      <c r="AL8" s="71">
        <v>49.681473950369636</v>
      </c>
      <c r="AM8" s="71">
        <v>29.547945807722016</v>
      </c>
      <c r="AN8" s="71">
        <v>20.770580241908352</v>
      </c>
      <c r="AO8" s="72">
        <v>50.318526049630364</v>
      </c>
      <c r="AP8" s="77">
        <v>-20.527837515495179</v>
      </c>
      <c r="AQ8" s="8">
        <v>-24.438682160957327</v>
      </c>
      <c r="AR8" s="8">
        <v>-15.462470626058561</v>
      </c>
      <c r="AS8" s="8">
        <v>-24.056518562030334</v>
      </c>
      <c r="AT8" s="8">
        <v>-33.40450742851138</v>
      </c>
      <c r="AU8" s="8">
        <v>-14.308231330035809</v>
      </c>
      <c r="AV8" s="8">
        <v>-11.634555595184978</v>
      </c>
      <c r="AW8" s="8">
        <v>-31.317067260053221</v>
      </c>
      <c r="AX8" s="8">
        <v>3.182217424881145</v>
      </c>
      <c r="AY8" s="65">
        <v>0</v>
      </c>
      <c r="AZ8" s="65">
        <v>0</v>
      </c>
      <c r="BA8" s="65">
        <v>0</v>
      </c>
      <c r="BB8" s="65">
        <v>-4.2857142857142918</v>
      </c>
      <c r="BC8" s="65">
        <v>-12.397660818713462</v>
      </c>
      <c r="BD8" s="65">
        <v>1.4202172096908896</v>
      </c>
      <c r="BE8" s="65">
        <v>-4</v>
      </c>
      <c r="BF8" s="65">
        <v>-21.085557029829474</v>
      </c>
      <c r="BG8" s="65">
        <v>8.2660081576490256</v>
      </c>
      <c r="BH8" s="24">
        <v>59.301491088202056</v>
      </c>
      <c r="BI8" s="24">
        <v>19.927928669889592</v>
      </c>
      <c r="BJ8" s="24">
        <v>20.770580241908352</v>
      </c>
      <c r="BK8" s="25">
        <v>40.698508911797944</v>
      </c>
      <c r="BL8" s="215" t="s">
        <v>552</v>
      </c>
      <c r="BN8" s="219">
        <v>0.33176681056615498</v>
      </c>
      <c r="BO8" s="219">
        <v>9.5881011137983201</v>
      </c>
      <c r="BP8" s="219">
        <v>19.861814416529601</v>
      </c>
      <c r="BQ8" s="219">
        <v>15.1291734726932</v>
      </c>
      <c r="BR8" s="219">
        <v>5.5724968776104902</v>
      </c>
      <c r="BS8" s="220" t="s">
        <v>220</v>
      </c>
      <c r="BT8" s="221" t="s">
        <v>220</v>
      </c>
      <c r="BU8" s="221" t="s">
        <v>220</v>
      </c>
      <c r="BV8" s="221" t="s">
        <v>220</v>
      </c>
      <c r="BW8" s="222" t="s">
        <v>220</v>
      </c>
      <c r="BX8" s="220">
        <f>0.00331766810566155*100</f>
        <v>0.33176681056615498</v>
      </c>
      <c r="BY8" s="221">
        <f>0.0958810111379832*100</f>
        <v>9.5881011137983201</v>
      </c>
      <c r="BZ8" s="221">
        <f>0.198618144165296*100</f>
        <v>19.861814416529601</v>
      </c>
      <c r="CA8" s="221">
        <f>0.151291734726932*100</f>
        <v>15.1291734726932</v>
      </c>
      <c r="CB8" s="222">
        <f>0.0557249687761049*100</f>
        <v>5.5724968776104902</v>
      </c>
      <c r="CC8" s="223">
        <v>0.80020750799999996</v>
      </c>
      <c r="CD8" s="224">
        <v>7.9772052090000001</v>
      </c>
      <c r="CE8" s="224">
        <v>15.68880798</v>
      </c>
      <c r="CF8" s="224">
        <v>11.724346629999999</v>
      </c>
      <c r="CG8" s="225">
        <v>4.0590834290000002</v>
      </c>
      <c r="CH8" s="26" t="s">
        <v>220</v>
      </c>
      <c r="CI8" s="8" t="s">
        <v>220</v>
      </c>
      <c r="CJ8" s="8" t="s">
        <v>220</v>
      </c>
      <c r="CK8" s="8" t="s">
        <v>220</v>
      </c>
      <c r="CL8" s="68" t="s">
        <v>220</v>
      </c>
    </row>
    <row r="9" spans="1:90" ht="15" customHeight="1" x14ac:dyDescent="0.3">
      <c r="A9" s="211" t="s">
        <v>547</v>
      </c>
      <c r="B9" s="245" t="s">
        <v>548</v>
      </c>
      <c r="C9" s="245" t="s">
        <v>559</v>
      </c>
      <c r="D9" s="245" t="s">
        <v>562</v>
      </c>
      <c r="E9" s="253" t="s">
        <v>186</v>
      </c>
      <c r="F9" s="128" t="s">
        <v>1007</v>
      </c>
      <c r="G9" s="198" t="s">
        <v>215</v>
      </c>
      <c r="H9" s="198" t="s">
        <v>561</v>
      </c>
      <c r="I9" s="153"/>
      <c r="J9" s="154" t="s">
        <v>736</v>
      </c>
      <c r="K9" s="423" t="s">
        <v>736</v>
      </c>
      <c r="L9" s="199"/>
      <c r="M9" s="199"/>
      <c r="N9" s="199"/>
      <c r="O9" s="199"/>
      <c r="P9" s="199"/>
      <c r="Q9" s="424" t="s">
        <v>999</v>
      </c>
      <c r="R9" s="429" t="s">
        <v>999</v>
      </c>
      <c r="S9" s="126">
        <v>5</v>
      </c>
      <c r="T9" s="65">
        <v>-19.24548092118944</v>
      </c>
      <c r="U9" s="65">
        <v>-23.717629338540831</v>
      </c>
      <c r="V9" s="65">
        <v>-13.713182123724749</v>
      </c>
      <c r="W9" s="65">
        <v>-22.712594325184682</v>
      </c>
      <c r="X9" s="65">
        <v>-32.340786616067433</v>
      </c>
      <c r="Y9" s="65">
        <v>-12.6980352552238</v>
      </c>
      <c r="Z9" s="65">
        <v>-10.683638141040504</v>
      </c>
      <c r="AA9" s="65">
        <v>-30.197469076336986</v>
      </c>
      <c r="AB9" s="65">
        <v>4.0606457484153253</v>
      </c>
      <c r="AC9" s="65">
        <v>0</v>
      </c>
      <c r="AD9" s="65">
        <v>0</v>
      </c>
      <c r="AE9" s="65">
        <v>0</v>
      </c>
      <c r="AF9" s="65">
        <v>-4.2857142857142918</v>
      </c>
      <c r="AG9" s="65">
        <v>-12.397660818713462</v>
      </c>
      <c r="AH9" s="65">
        <v>1.4202172096908896</v>
      </c>
      <c r="AI9" s="65">
        <v>-4</v>
      </c>
      <c r="AJ9" s="65">
        <v>-21.085557029829474</v>
      </c>
      <c r="AK9" s="65">
        <v>8.2660081576490256</v>
      </c>
      <c r="AL9" s="71">
        <v>54.900042354599535</v>
      </c>
      <c r="AM9" s="71">
        <v>29.189394916134599</v>
      </c>
      <c r="AN9" s="71">
        <v>15.910562729265862</v>
      </c>
      <c r="AO9" s="72">
        <v>45.099957645400465</v>
      </c>
      <c r="AP9" s="77">
        <v>-16.708107976219395</v>
      </c>
      <c r="AQ9" s="8">
        <v>-20.116272809753468</v>
      </c>
      <c r="AR9" s="8">
        <v>-12.366464402306732</v>
      </c>
      <c r="AS9" s="8">
        <v>-20.347246664619391</v>
      </c>
      <c r="AT9" s="8">
        <v>-29.565076495871907</v>
      </c>
      <c r="AU9" s="8">
        <v>-11.206227294218678</v>
      </c>
      <c r="AV9" s="8">
        <v>-10.08154964562388</v>
      </c>
      <c r="AW9" s="8">
        <v>-29.279029416493998</v>
      </c>
      <c r="AX9" s="8">
        <v>4.2848496687071957</v>
      </c>
      <c r="AY9" s="65">
        <v>0</v>
      </c>
      <c r="AZ9" s="65">
        <v>0</v>
      </c>
      <c r="BA9" s="65">
        <v>0</v>
      </c>
      <c r="BB9" s="65">
        <v>-4.2857142857142918</v>
      </c>
      <c r="BC9" s="65">
        <v>-12.397660818713462</v>
      </c>
      <c r="BD9" s="65">
        <v>1.4202172096908896</v>
      </c>
      <c r="BE9" s="65">
        <v>-4</v>
      </c>
      <c r="BF9" s="65">
        <v>-21.085557029829474</v>
      </c>
      <c r="BG9" s="65">
        <v>8.2660081576490256</v>
      </c>
      <c r="BH9" s="24">
        <v>64.934850611543169</v>
      </c>
      <c r="BI9" s="24">
        <v>19.154586659190969</v>
      </c>
      <c r="BJ9" s="24">
        <v>15.910562729265862</v>
      </c>
      <c r="BK9" s="25">
        <v>35.065149388456831</v>
      </c>
      <c r="BL9" s="215" t="s">
        <v>552</v>
      </c>
      <c r="BN9" s="218">
        <v>0.16952971276613599</v>
      </c>
      <c r="BO9" s="218">
        <v>10.017796275328999</v>
      </c>
      <c r="BP9" s="218">
        <v>19.122113943446102</v>
      </c>
      <c r="BQ9" s="218">
        <v>13.680760469811601</v>
      </c>
      <c r="BR9" s="218">
        <v>2.20282912815986</v>
      </c>
      <c r="BS9" s="220" t="s">
        <v>220</v>
      </c>
      <c r="BT9" s="221" t="s">
        <v>220</v>
      </c>
      <c r="BU9" s="221" t="s">
        <v>220</v>
      </c>
      <c r="BV9" s="221" t="s">
        <v>220</v>
      </c>
      <c r="BW9" s="222" t="s">
        <v>220</v>
      </c>
      <c r="BX9" s="220">
        <f>0.00169529712766136*100</f>
        <v>0.16952971276613599</v>
      </c>
      <c r="BY9" s="221">
        <f>0.10017796275329*100</f>
        <v>10.017796275328999</v>
      </c>
      <c r="BZ9" s="221">
        <f>0.191221139434461*100</f>
        <v>19.122113943446102</v>
      </c>
      <c r="CA9" s="221">
        <f>0.136807604698116*100</f>
        <v>13.680760469811601</v>
      </c>
      <c r="CB9" s="222">
        <f>0.0220282912815986*100</f>
        <v>2.20282912815986</v>
      </c>
      <c r="CC9" s="223">
        <v>0.34433539099999999</v>
      </c>
      <c r="CD9" s="224">
        <v>7.6805525159999997</v>
      </c>
      <c r="CE9" s="224">
        <v>14.54815423</v>
      </c>
      <c r="CF9" s="224">
        <v>10.299764590000001</v>
      </c>
      <c r="CG9" s="225">
        <v>1.6651605009999999</v>
      </c>
      <c r="CH9" s="26" t="s">
        <v>220</v>
      </c>
      <c r="CI9" s="8" t="s">
        <v>220</v>
      </c>
      <c r="CJ9" s="8" t="s">
        <v>220</v>
      </c>
      <c r="CK9" s="8" t="s">
        <v>220</v>
      </c>
      <c r="CL9" s="68" t="s">
        <v>220</v>
      </c>
    </row>
    <row r="10" spans="1:90" ht="15" customHeight="1" x14ac:dyDescent="0.3">
      <c r="A10" s="211" t="s">
        <v>547</v>
      </c>
      <c r="B10" s="245" t="s">
        <v>548</v>
      </c>
      <c r="C10" s="245" t="s">
        <v>559</v>
      </c>
      <c r="D10" s="245" t="s">
        <v>563</v>
      </c>
      <c r="E10" s="253" t="s">
        <v>186</v>
      </c>
      <c r="F10" s="128" t="s">
        <v>1007</v>
      </c>
      <c r="G10" s="198" t="s">
        <v>215</v>
      </c>
      <c r="H10" s="198" t="s">
        <v>561</v>
      </c>
      <c r="I10" s="153"/>
      <c r="J10" s="154" t="s">
        <v>736</v>
      </c>
      <c r="K10" s="423" t="s">
        <v>736</v>
      </c>
      <c r="L10" s="199"/>
      <c r="M10" s="199"/>
      <c r="N10" s="199"/>
      <c r="O10" s="199"/>
      <c r="P10" s="199"/>
      <c r="Q10" s="424" t="s">
        <v>999</v>
      </c>
      <c r="R10" s="429" t="s">
        <v>999</v>
      </c>
      <c r="S10" s="126">
        <v>6</v>
      </c>
      <c r="T10" s="65">
        <v>-24.797760032601047</v>
      </c>
      <c r="U10" s="65">
        <v>-29.994891395450608</v>
      </c>
      <c r="V10" s="65">
        <v>-18.219016588279644</v>
      </c>
      <c r="W10" s="65">
        <v>-28.105084993248084</v>
      </c>
      <c r="X10" s="65">
        <v>-37.919944015882621</v>
      </c>
      <c r="Y10" s="65">
        <v>-17.211485948807166</v>
      </c>
      <c r="Z10" s="65">
        <v>-12.944409984677847</v>
      </c>
      <c r="AA10" s="65">
        <v>-33.163318814765717</v>
      </c>
      <c r="AB10" s="65">
        <v>2.453912980484489</v>
      </c>
      <c r="AC10" s="65">
        <v>0</v>
      </c>
      <c r="AD10" s="65">
        <v>0</v>
      </c>
      <c r="AE10" s="65">
        <v>0</v>
      </c>
      <c r="AF10" s="65">
        <v>-4.2857142857142918</v>
      </c>
      <c r="AG10" s="65">
        <v>-12.397660818713462</v>
      </c>
      <c r="AH10" s="65">
        <v>1.4202172096908896</v>
      </c>
      <c r="AI10" s="65">
        <v>-4</v>
      </c>
      <c r="AJ10" s="65">
        <v>-21.085557029829474</v>
      </c>
      <c r="AK10" s="65">
        <v>8.2660081576490256</v>
      </c>
      <c r="AL10" s="71">
        <v>46.760655584232516</v>
      </c>
      <c r="AM10" s="71">
        <v>30.239147136840277</v>
      </c>
      <c r="AN10" s="71">
        <v>23.00019727892721</v>
      </c>
      <c r="AO10" s="72">
        <v>53.239344415767491</v>
      </c>
      <c r="AP10" s="77">
        <v>-22.337740524420141</v>
      </c>
      <c r="AQ10" s="8">
        <v>-26.503324523385515</v>
      </c>
      <c r="AR10" s="8">
        <v>-16.913354417778194</v>
      </c>
      <c r="AS10" s="8">
        <v>-25.811846468672684</v>
      </c>
      <c r="AT10" s="8">
        <v>-35.228853193671313</v>
      </c>
      <c r="AU10" s="8">
        <v>-15.765156707452576</v>
      </c>
      <c r="AV10" s="8">
        <v>-12.36067654205867</v>
      </c>
      <c r="AW10" s="8">
        <v>-32.272878375263275</v>
      </c>
      <c r="AX10" s="8">
        <v>2.6712819008956501</v>
      </c>
      <c r="AY10" s="65">
        <v>0</v>
      </c>
      <c r="AZ10" s="65">
        <v>0</v>
      </c>
      <c r="BA10" s="65">
        <v>0</v>
      </c>
      <c r="BB10" s="65">
        <v>-4.2857142857142918</v>
      </c>
      <c r="BC10" s="65">
        <v>-12.397660818713462</v>
      </c>
      <c r="BD10" s="65">
        <v>1.4202172096908896</v>
      </c>
      <c r="BE10" s="65">
        <v>-4</v>
      </c>
      <c r="BF10" s="65">
        <v>-21.085557029829474</v>
      </c>
      <c r="BG10" s="65">
        <v>8.2660081576490256</v>
      </c>
      <c r="BH10" s="24">
        <v>56.489546294552532</v>
      </c>
      <c r="BI10" s="24">
        <v>20.510256426520254</v>
      </c>
      <c r="BJ10" s="24">
        <v>23.00019727892721</v>
      </c>
      <c r="BK10" s="25">
        <v>43.51045370544746</v>
      </c>
      <c r="BL10" s="215" t="s">
        <v>552</v>
      </c>
      <c r="BN10" s="219">
        <v>0.39994491599669801</v>
      </c>
      <c r="BO10" s="219">
        <v>9.6899805065412199</v>
      </c>
      <c r="BP10" s="219">
        <v>20.428226698684501</v>
      </c>
      <c r="BQ10" s="219">
        <v>15.967516000039101</v>
      </c>
      <c r="BR10" s="219">
        <v>6.9406931592018299</v>
      </c>
      <c r="BS10" s="220" t="s">
        <v>220</v>
      </c>
      <c r="BT10" s="221" t="s">
        <v>220</v>
      </c>
      <c r="BU10" s="221" t="s">
        <v>220</v>
      </c>
      <c r="BV10" s="221" t="s">
        <v>220</v>
      </c>
      <c r="BW10" s="222" t="s">
        <v>220</v>
      </c>
      <c r="BX10" s="220">
        <f>0.00399944915996698*100</f>
        <v>0.39994491599669801</v>
      </c>
      <c r="BY10" s="221">
        <f>0.0968998050654122*100</f>
        <v>9.6899805065412199</v>
      </c>
      <c r="BZ10" s="221">
        <f>0.204282266986845*100</f>
        <v>20.428226698684501</v>
      </c>
      <c r="CA10" s="221">
        <f>0.159675160000391*100</f>
        <v>15.967516000039101</v>
      </c>
      <c r="CB10" s="222">
        <f>0.0694069315920183*100</f>
        <v>6.9406931592018299</v>
      </c>
      <c r="CC10" s="223">
        <v>0.99521639900000003</v>
      </c>
      <c r="CD10" s="224">
        <v>8.0793584739999993</v>
      </c>
      <c r="CE10" s="224">
        <v>16.060986719999999</v>
      </c>
      <c r="CF10" s="224">
        <v>12.33962934</v>
      </c>
      <c r="CG10" s="225">
        <v>5.08372197</v>
      </c>
      <c r="CH10" s="26" t="s">
        <v>220</v>
      </c>
      <c r="CI10" s="8" t="s">
        <v>220</v>
      </c>
      <c r="CJ10" s="8" t="s">
        <v>220</v>
      </c>
      <c r="CK10" s="8" t="s">
        <v>220</v>
      </c>
      <c r="CL10" s="68" t="s">
        <v>220</v>
      </c>
    </row>
    <row r="11" spans="1:90" ht="15" customHeight="1" x14ac:dyDescent="0.3">
      <c r="A11" s="211" t="s">
        <v>547</v>
      </c>
      <c r="B11" s="247" t="s">
        <v>564</v>
      </c>
      <c r="C11" s="211" t="s">
        <v>565</v>
      </c>
      <c r="D11" s="211" t="s">
        <v>566</v>
      </c>
      <c r="E11" s="205" t="s">
        <v>186</v>
      </c>
      <c r="F11" s="128" t="s">
        <v>1008</v>
      </c>
      <c r="G11" s="198" t="s">
        <v>211</v>
      </c>
      <c r="H11" s="198" t="s">
        <v>567</v>
      </c>
      <c r="I11" s="128" t="s">
        <v>201</v>
      </c>
      <c r="J11" s="154" t="s">
        <v>227</v>
      </c>
      <c r="K11" s="423" t="s">
        <v>227</v>
      </c>
      <c r="L11" s="199"/>
      <c r="M11" s="199" t="s">
        <v>201</v>
      </c>
      <c r="N11" s="199" t="s">
        <v>201</v>
      </c>
      <c r="O11" s="199" t="s">
        <v>187</v>
      </c>
      <c r="P11" s="199">
        <v>6474</v>
      </c>
      <c r="Q11" s="424" t="s">
        <v>1010</v>
      </c>
      <c r="R11" s="424" t="s">
        <v>1011</v>
      </c>
      <c r="S11" s="126">
        <v>7</v>
      </c>
      <c r="T11" s="164">
        <v>-5.167248956388903</v>
      </c>
      <c r="U11" s="164">
        <v>-8.1799411422009882</v>
      </c>
      <c r="V11" s="164">
        <v>-2.1129964873549625</v>
      </c>
      <c r="W11" s="164">
        <v>-9.1817927191480493</v>
      </c>
      <c r="X11" s="164">
        <v>-16.951064158271265</v>
      </c>
      <c r="Y11" s="164">
        <v>-1.6431031709107629</v>
      </c>
      <c r="Z11" s="164">
        <v>-13.482839772050113</v>
      </c>
      <c r="AA11" s="164">
        <v>-31.411498906464118</v>
      </c>
      <c r="AB11" s="164">
        <v>2.204843717832361</v>
      </c>
      <c r="AC11" s="164">
        <v>0</v>
      </c>
      <c r="AD11" s="164">
        <v>0</v>
      </c>
      <c r="AE11" s="164">
        <v>0</v>
      </c>
      <c r="AF11" s="164">
        <v>-2</v>
      </c>
      <c r="AG11" s="164">
        <v>-7.7787114845938419</v>
      </c>
      <c r="AH11" s="164">
        <v>3.2913165266106432</v>
      </c>
      <c r="AI11" s="164">
        <v>-7.4285714285714306</v>
      </c>
      <c r="AJ11" s="164">
        <v>-25.306122448979593</v>
      </c>
      <c r="AK11" s="164">
        <v>6.6326530612244881</v>
      </c>
      <c r="AL11" s="71">
        <v>84.348632921976304</v>
      </c>
      <c r="AM11" s="71">
        <v>2.367964245099091</v>
      </c>
      <c r="AN11" s="71">
        <v>13.283402832924605</v>
      </c>
      <c r="AO11" s="72">
        <v>15.651367078023696</v>
      </c>
      <c r="AP11" s="77">
        <v>-5.0460028345468686</v>
      </c>
      <c r="AQ11" s="8">
        <v>-7.8551281355644278</v>
      </c>
      <c r="AR11" s="8">
        <v>-2.0806169187538757</v>
      </c>
      <c r="AS11" s="8">
        <v>-8.9603867575234943</v>
      </c>
      <c r="AT11" s="8">
        <v>-16.571327322751245</v>
      </c>
      <c r="AU11" s="8">
        <v>-1.5319407939751954</v>
      </c>
      <c r="AV11" s="8">
        <v>-13.324692656603986</v>
      </c>
      <c r="AW11" s="8">
        <v>-31.169538249722734</v>
      </c>
      <c r="AX11" s="8">
        <v>2.3559916051999181</v>
      </c>
      <c r="AY11" s="164">
        <v>0</v>
      </c>
      <c r="AZ11" s="164">
        <v>0</v>
      </c>
      <c r="BA11" s="164">
        <v>0</v>
      </c>
      <c r="BB11" s="164">
        <v>-2</v>
      </c>
      <c r="BC11" s="164">
        <v>-7.7787114845938419</v>
      </c>
      <c r="BD11" s="164">
        <v>3.2913165266106432</v>
      </c>
      <c r="BE11" s="164">
        <v>-7.4285714285714306</v>
      </c>
      <c r="BF11" s="164">
        <v>-25.306122448979593</v>
      </c>
      <c r="BG11" s="164">
        <v>6.6326530612244881</v>
      </c>
      <c r="BH11" s="24">
        <v>85.578666042112886</v>
      </c>
      <c r="BI11" s="24">
        <v>1.1379311249625057</v>
      </c>
      <c r="BJ11" s="24">
        <v>13.283402832924605</v>
      </c>
      <c r="BK11" s="25">
        <v>14.421333957887111</v>
      </c>
      <c r="BL11" s="215" t="s">
        <v>556</v>
      </c>
      <c r="BN11" s="218">
        <v>8.8377872635205801E-2</v>
      </c>
      <c r="BO11" s="218">
        <v>1.2289460430323</v>
      </c>
      <c r="BP11" s="218">
        <v>1.13692544564221</v>
      </c>
      <c r="BQ11" s="218">
        <v>2.3334991774745002</v>
      </c>
      <c r="BR11" s="218">
        <v>10.938164066612799</v>
      </c>
      <c r="BS11" s="220">
        <v>8.8377872635205801E-2</v>
      </c>
      <c r="BT11" s="221">
        <v>1.2289460430323</v>
      </c>
      <c r="BU11" s="221">
        <v>1.13692544564221</v>
      </c>
      <c r="BV11" s="221">
        <v>2.3334991774745002</v>
      </c>
      <c r="BW11" s="222">
        <v>10.938164066612799</v>
      </c>
      <c r="BX11" s="220">
        <v>0.177854548405528</v>
      </c>
      <c r="BY11" s="221">
        <v>4.6984921491873104</v>
      </c>
      <c r="BZ11" s="221">
        <v>10.3574458953298</v>
      </c>
      <c r="CA11" s="221">
        <v>9.4496414781004106</v>
      </c>
      <c r="CB11" s="222">
        <v>10.943674510060299</v>
      </c>
      <c r="CC11" s="223">
        <v>0.25556051899999999</v>
      </c>
      <c r="CD11" s="224">
        <v>4.4463374849999999</v>
      </c>
      <c r="CE11" s="224">
        <v>9.6500067529999995</v>
      </c>
      <c r="CF11" s="224">
        <v>8.7139903800000003</v>
      </c>
      <c r="CG11" s="225">
        <v>10.03542526</v>
      </c>
      <c r="CH11" s="26">
        <v>8.8377872999999996E-2</v>
      </c>
      <c r="CI11" s="8">
        <v>1.2289460430000001</v>
      </c>
      <c r="CJ11" s="8">
        <v>1.136925446</v>
      </c>
      <c r="CK11" s="8">
        <v>2.3334991770000002</v>
      </c>
      <c r="CL11" s="68">
        <v>10.938164069999999</v>
      </c>
    </row>
    <row r="12" spans="1:90" ht="15" customHeight="1" x14ac:dyDescent="0.3">
      <c r="A12" s="211" t="s">
        <v>547</v>
      </c>
      <c r="B12" s="247" t="s">
        <v>564</v>
      </c>
      <c r="C12" s="211" t="s">
        <v>659</v>
      </c>
      <c r="D12" s="245" t="s">
        <v>660</v>
      </c>
      <c r="E12" s="205" t="s">
        <v>186</v>
      </c>
      <c r="F12" s="153" t="s">
        <v>747</v>
      </c>
      <c r="G12" s="154" t="s">
        <v>211</v>
      </c>
      <c r="H12" s="198" t="s">
        <v>661</v>
      </c>
      <c r="I12" s="153"/>
      <c r="J12" s="154" t="s">
        <v>188</v>
      </c>
      <c r="K12" s="423" t="s">
        <v>188</v>
      </c>
      <c r="L12" s="199"/>
      <c r="M12" s="199"/>
      <c r="N12" s="199"/>
      <c r="Q12" s="199"/>
      <c r="R12" s="199"/>
      <c r="S12" s="126"/>
      <c r="T12" s="147"/>
      <c r="U12" s="147"/>
      <c r="V12" s="147"/>
      <c r="W12" s="147"/>
      <c r="X12" s="147"/>
      <c r="Y12" s="147"/>
      <c r="Z12" s="147"/>
      <c r="AA12" s="147"/>
      <c r="AB12" s="147"/>
      <c r="AC12" s="147"/>
      <c r="AD12" s="147"/>
      <c r="AE12" s="147"/>
      <c r="AF12" s="147"/>
      <c r="AG12" s="147"/>
      <c r="AH12" s="147"/>
      <c r="AI12" s="147"/>
      <c r="AJ12" s="147"/>
      <c r="AK12" s="147"/>
      <c r="AL12" s="71">
        <v>98.160508708305329</v>
      </c>
      <c r="AM12" s="71">
        <v>0.5307882967293388</v>
      </c>
      <c r="AN12" s="71">
        <v>1.3087029949653357</v>
      </c>
      <c r="AO12" s="72">
        <v>1.8394912916946744</v>
      </c>
      <c r="AP12" s="147"/>
      <c r="AQ12" s="147"/>
      <c r="AR12" s="147"/>
      <c r="AS12" s="147"/>
      <c r="AT12" s="147"/>
      <c r="AU12" s="147"/>
      <c r="AV12" s="147"/>
      <c r="AW12" s="147"/>
      <c r="AX12" s="147"/>
      <c r="AY12" s="147"/>
      <c r="AZ12" s="147"/>
      <c r="BA12" s="147"/>
      <c r="BB12" s="147"/>
      <c r="BC12" s="147"/>
      <c r="BD12" s="147"/>
      <c r="BE12" s="147"/>
      <c r="BF12" s="147"/>
      <c r="BG12" s="147"/>
      <c r="BH12" s="24">
        <v>98.353491567601807</v>
      </c>
      <c r="BI12" s="24">
        <v>0.33780543743286817</v>
      </c>
      <c r="BJ12" s="24">
        <v>1.3087029949653357</v>
      </c>
      <c r="BK12" s="25">
        <v>1.6465084323982038</v>
      </c>
      <c r="BL12" s="215" t="s">
        <v>556</v>
      </c>
      <c r="BN12" s="218">
        <v>1.4771513593261201E-2</v>
      </c>
      <c r="BO12" s="218">
        <v>0.19295435280717699</v>
      </c>
      <c r="BP12" s="218">
        <v>0.33775553845675899</v>
      </c>
      <c r="BQ12" s="218">
        <v>0.45607267208282198</v>
      </c>
      <c r="BR12" s="218">
        <v>0.85243700764171704</v>
      </c>
      <c r="BS12" s="220">
        <v>1.4771513593261201E-2</v>
      </c>
      <c r="BT12" s="221">
        <v>0.19295435280717699</v>
      </c>
      <c r="BU12" s="221">
        <v>0.33775553845675899</v>
      </c>
      <c r="BV12" s="221">
        <v>0.45607267208282198</v>
      </c>
      <c r="BW12" s="222">
        <v>0.85243700764171704</v>
      </c>
      <c r="BX12" s="220" t="s">
        <v>220</v>
      </c>
      <c r="BY12" s="221" t="s">
        <v>220</v>
      </c>
      <c r="BZ12" s="221" t="s">
        <v>220</v>
      </c>
      <c r="CA12" s="221" t="s">
        <v>220</v>
      </c>
      <c r="CB12" s="222" t="s">
        <v>220</v>
      </c>
      <c r="CC12" s="223" t="s">
        <v>220</v>
      </c>
      <c r="CD12" s="224" t="s">
        <v>220</v>
      </c>
      <c r="CE12" s="224" t="s">
        <v>220</v>
      </c>
      <c r="CF12" s="224" t="s">
        <v>220</v>
      </c>
      <c r="CG12" s="225" t="s">
        <v>220</v>
      </c>
      <c r="CH12" s="26">
        <v>3.4332236000000002E-2</v>
      </c>
      <c r="CI12" s="8">
        <v>0.27645920400000001</v>
      </c>
      <c r="CJ12" s="8">
        <v>0.34600767599999999</v>
      </c>
      <c r="CK12" s="8">
        <v>0.36826315100000001</v>
      </c>
      <c r="CL12" s="68">
        <v>0.60559237899999996</v>
      </c>
    </row>
    <row r="13" spans="1:90" ht="15" customHeight="1" x14ac:dyDescent="0.3">
      <c r="A13" s="211" t="s">
        <v>547</v>
      </c>
      <c r="B13" s="247" t="s">
        <v>564</v>
      </c>
      <c r="C13" s="211" t="s">
        <v>664</v>
      </c>
      <c r="D13" s="245" t="s">
        <v>665</v>
      </c>
      <c r="E13" s="205" t="s">
        <v>186</v>
      </c>
      <c r="F13" s="153" t="s">
        <v>747</v>
      </c>
      <c r="G13" s="154" t="s">
        <v>335</v>
      </c>
      <c r="H13" s="198" t="s">
        <v>661</v>
      </c>
      <c r="I13" s="153"/>
      <c r="J13" s="154" t="s">
        <v>737</v>
      </c>
      <c r="K13" s="423" t="s">
        <v>266</v>
      </c>
      <c r="L13" s="199"/>
      <c r="M13" s="199"/>
      <c r="N13" s="199"/>
      <c r="Q13" s="199"/>
      <c r="R13" s="199"/>
      <c r="S13" s="126"/>
      <c r="T13" s="147"/>
      <c r="U13" s="147"/>
      <c r="V13" s="147"/>
      <c r="W13" s="147"/>
      <c r="X13" s="147"/>
      <c r="Y13" s="147"/>
      <c r="Z13" s="147"/>
      <c r="AA13" s="147"/>
      <c r="AB13" s="147"/>
      <c r="AC13" s="147"/>
      <c r="AD13" s="147"/>
      <c r="AE13" s="147"/>
      <c r="AF13" s="147"/>
      <c r="AG13" s="147"/>
      <c r="AH13" s="147"/>
      <c r="AI13" s="147"/>
      <c r="AJ13" s="147"/>
      <c r="AK13" s="147"/>
      <c r="AL13" s="71">
        <v>95.552762233968579</v>
      </c>
      <c r="AM13" s="71">
        <v>0.84004036524681658</v>
      </c>
      <c r="AN13" s="71">
        <v>3.6071974007845982</v>
      </c>
      <c r="AO13" s="72">
        <v>4.4472377660314146</v>
      </c>
      <c r="AP13" s="147"/>
      <c r="AQ13" s="147"/>
      <c r="AR13" s="147"/>
      <c r="AS13" s="147"/>
      <c r="AT13" s="147"/>
      <c r="AU13" s="147"/>
      <c r="AV13" s="147"/>
      <c r="AW13" s="147"/>
      <c r="AX13" s="147"/>
      <c r="AY13" s="147"/>
      <c r="AZ13" s="147"/>
      <c r="BA13" s="147"/>
      <c r="BB13" s="147"/>
      <c r="BC13" s="147"/>
      <c r="BD13" s="147"/>
      <c r="BE13" s="147"/>
      <c r="BF13" s="147"/>
      <c r="BG13" s="147"/>
      <c r="BH13" s="24">
        <v>95.742860027014487</v>
      </c>
      <c r="BI13" s="24">
        <v>0.64994257220091256</v>
      </c>
      <c r="BJ13" s="24">
        <v>3.6071974007845982</v>
      </c>
      <c r="BK13" s="25">
        <v>4.2571399729855104</v>
      </c>
      <c r="BL13" s="215" t="s">
        <v>556</v>
      </c>
      <c r="BN13" s="218">
        <v>2.33133107796302E-3</v>
      </c>
      <c r="BO13" s="218">
        <v>0.19009336123697601</v>
      </c>
      <c r="BP13" s="218">
        <v>0.64992741988773794</v>
      </c>
      <c r="BQ13" s="218">
        <v>1.0900901826384199</v>
      </c>
      <c r="BR13" s="218">
        <v>2.5170231224321298</v>
      </c>
      <c r="BS13" s="220">
        <v>2.33133107796302E-3</v>
      </c>
      <c r="BT13" s="221">
        <v>0.19009336123697601</v>
      </c>
      <c r="BU13" s="221">
        <v>0.64992741988773794</v>
      </c>
      <c r="BV13" s="221">
        <v>1.0900901826384199</v>
      </c>
      <c r="BW13" s="222">
        <v>2.5170231224321298</v>
      </c>
      <c r="BX13" s="220" t="s">
        <v>220</v>
      </c>
      <c r="BY13" s="221" t="s">
        <v>220</v>
      </c>
      <c r="BZ13" s="221" t="s">
        <v>220</v>
      </c>
      <c r="CA13" s="221" t="s">
        <v>220</v>
      </c>
      <c r="CB13" s="222" t="s">
        <v>220</v>
      </c>
      <c r="CC13" s="223" t="s">
        <v>220</v>
      </c>
      <c r="CD13" s="224" t="s">
        <v>220</v>
      </c>
      <c r="CE13" s="224" t="s">
        <v>220</v>
      </c>
      <c r="CF13" s="224" t="s">
        <v>220</v>
      </c>
      <c r="CG13" s="225" t="s">
        <v>220</v>
      </c>
      <c r="CH13" s="26">
        <v>1.4513056999999999E-2</v>
      </c>
      <c r="CI13" s="8">
        <v>0.463926852</v>
      </c>
      <c r="CJ13" s="8">
        <v>0.64629993200000002</v>
      </c>
      <c r="CK13" s="8">
        <v>0.74630701499999996</v>
      </c>
      <c r="CL13" s="68">
        <v>1.442206423</v>
      </c>
    </row>
    <row r="14" spans="1:90" ht="15" customHeight="1" x14ac:dyDescent="0.3">
      <c r="A14" s="211" t="s">
        <v>547</v>
      </c>
      <c r="B14" s="247" t="s">
        <v>564</v>
      </c>
      <c r="C14" s="245" t="s">
        <v>568</v>
      </c>
      <c r="D14" s="245" t="s">
        <v>569</v>
      </c>
      <c r="E14" s="205" t="s">
        <v>186</v>
      </c>
      <c r="F14" s="128" t="s">
        <v>1012</v>
      </c>
      <c r="G14" s="198" t="s">
        <v>211</v>
      </c>
      <c r="H14" s="198" t="s">
        <v>570</v>
      </c>
      <c r="I14" s="153"/>
      <c r="J14" s="154" t="s">
        <v>188</v>
      </c>
      <c r="K14" s="423" t="s">
        <v>188</v>
      </c>
      <c r="L14" s="199"/>
      <c r="M14" s="199"/>
      <c r="N14" s="199"/>
      <c r="O14" s="199"/>
      <c r="P14" s="199"/>
      <c r="Q14" s="407" t="s">
        <v>999</v>
      </c>
      <c r="R14" s="430" t="s">
        <v>999</v>
      </c>
      <c r="S14" s="126">
        <v>8</v>
      </c>
      <c r="T14" s="164">
        <v>-13.49005888634079</v>
      </c>
      <c r="U14" s="164">
        <v>-17.842526935265454</v>
      </c>
      <c r="V14" s="164">
        <v>-7.5218608353484768</v>
      </c>
      <c r="W14" s="164">
        <v>-15.7610294763616</v>
      </c>
      <c r="X14" s="164">
        <v>-25.970259917522313</v>
      </c>
      <c r="Y14" s="164">
        <v>-5.2025848238576771</v>
      </c>
      <c r="Z14" s="164">
        <v>-12.48371635247652</v>
      </c>
      <c r="AA14" s="164">
        <v>-28.563934893725005</v>
      </c>
      <c r="AB14" s="164">
        <v>2.6566496813406957</v>
      </c>
      <c r="AC14" s="164">
        <v>0</v>
      </c>
      <c r="AD14" s="164">
        <v>0</v>
      </c>
      <c r="AE14" s="164">
        <v>0</v>
      </c>
      <c r="AF14" s="164">
        <v>-0.625</v>
      </c>
      <c r="AG14" s="164">
        <v>-8.4791021671826599</v>
      </c>
      <c r="AH14" s="164">
        <v>4.9415204678362556</v>
      </c>
      <c r="AI14" s="164">
        <v>-6.875</v>
      </c>
      <c r="AJ14" s="164">
        <v>-20.408496732026151</v>
      </c>
      <c r="AK14" s="164">
        <v>5.3431372549019613</v>
      </c>
      <c r="AL14" s="71">
        <v>65.759304209226102</v>
      </c>
      <c r="AM14" s="71">
        <v>19.198294885304339</v>
      </c>
      <c r="AN14" s="71">
        <v>15.042400905469567</v>
      </c>
      <c r="AO14" s="72">
        <v>34.240695790773906</v>
      </c>
      <c r="AP14" s="8">
        <v>-12.190324111212021</v>
      </c>
      <c r="AQ14" s="8">
        <v>-15.502729689705234</v>
      </c>
      <c r="AR14" s="8">
        <v>-7.1776026167141964</v>
      </c>
      <c r="AS14" s="8">
        <v>-14.036714674690771</v>
      </c>
      <c r="AT14" s="8">
        <v>-23.614921262948627</v>
      </c>
      <c r="AU14" s="8">
        <v>-4.0668711593524449</v>
      </c>
      <c r="AV14" s="8">
        <v>-12.223769397450766</v>
      </c>
      <c r="AW14" s="8">
        <v>-27.79561192275888</v>
      </c>
      <c r="AX14" s="8">
        <v>2.685845262869563</v>
      </c>
      <c r="AY14" s="164">
        <v>0</v>
      </c>
      <c r="AZ14" s="164">
        <v>0</v>
      </c>
      <c r="BA14" s="164">
        <v>0</v>
      </c>
      <c r="BB14" s="164">
        <v>-0.625</v>
      </c>
      <c r="BC14" s="164">
        <v>-8.4791021671826599</v>
      </c>
      <c r="BD14" s="164">
        <v>4.9415204678362556</v>
      </c>
      <c r="BE14" s="164">
        <v>-6.875</v>
      </c>
      <c r="BF14" s="164">
        <v>-20.408496732026151</v>
      </c>
      <c r="BG14" s="164">
        <v>5.3431372549019613</v>
      </c>
      <c r="BH14" s="24">
        <v>72.691223009912918</v>
      </c>
      <c r="BI14" s="24">
        <v>12.266376084617516</v>
      </c>
      <c r="BJ14" s="24">
        <v>15.042400905469567</v>
      </c>
      <c r="BK14" s="25">
        <v>27.308776990087082</v>
      </c>
      <c r="BL14" s="215" t="s">
        <v>552</v>
      </c>
      <c r="BN14" s="219">
        <v>0.32075366716381004</v>
      </c>
      <c r="BO14" s="219">
        <v>6.9096844169288003</v>
      </c>
      <c r="BP14" s="219">
        <v>12.227031233498</v>
      </c>
      <c r="BQ14" s="219">
        <v>10.142370537710899</v>
      </c>
      <c r="BR14" s="219">
        <v>4.8517813152248905</v>
      </c>
      <c r="BS14" s="220" t="s">
        <v>220</v>
      </c>
      <c r="BT14" s="221" t="s">
        <v>220</v>
      </c>
      <c r="BU14" s="221" t="s">
        <v>220</v>
      </c>
      <c r="BV14" s="221" t="s">
        <v>220</v>
      </c>
      <c r="BW14" s="222" t="s">
        <v>220</v>
      </c>
      <c r="BX14" s="220">
        <f>0.0032075366716381*100</f>
        <v>0.32075366716381004</v>
      </c>
      <c r="BY14" s="221">
        <f>0.069096844169288*100</f>
        <v>6.9096844169288003</v>
      </c>
      <c r="BZ14" s="221">
        <f>0.12227031233498*100</f>
        <v>12.227031233498</v>
      </c>
      <c r="CA14" s="221">
        <f>0.101423705377109*100</f>
        <v>10.142370537710899</v>
      </c>
      <c r="CB14" s="222">
        <f>0.0485178131522489*100</f>
        <v>4.8517813152248905</v>
      </c>
      <c r="CC14" s="223">
        <v>0.47675245199999999</v>
      </c>
      <c r="CD14" s="224">
        <v>5.8806560770000003</v>
      </c>
      <c r="CE14" s="224">
        <v>10.480137709999999</v>
      </c>
      <c r="CF14" s="224">
        <v>8.4532045470000003</v>
      </c>
      <c r="CG14" s="225">
        <v>3.9273101119999998</v>
      </c>
      <c r="CH14" s="26" t="s">
        <v>220</v>
      </c>
      <c r="CI14" s="8" t="s">
        <v>220</v>
      </c>
      <c r="CJ14" s="8" t="s">
        <v>220</v>
      </c>
      <c r="CK14" s="8" t="s">
        <v>220</v>
      </c>
      <c r="CL14" s="68" t="s">
        <v>220</v>
      </c>
    </row>
    <row r="15" spans="1:90" ht="15" customHeight="1" x14ac:dyDescent="0.3">
      <c r="A15" s="211" t="s">
        <v>547</v>
      </c>
      <c r="B15" s="247" t="s">
        <v>564</v>
      </c>
      <c r="C15" s="245" t="s">
        <v>568</v>
      </c>
      <c r="D15" s="245" t="s">
        <v>571</v>
      </c>
      <c r="E15" s="205" t="s">
        <v>186</v>
      </c>
      <c r="F15" s="128" t="s">
        <v>1012</v>
      </c>
      <c r="G15" s="198" t="s">
        <v>335</v>
      </c>
      <c r="H15" s="198" t="s">
        <v>570</v>
      </c>
      <c r="I15" s="153"/>
      <c r="J15" s="154" t="s">
        <v>737</v>
      </c>
      <c r="K15" s="423" t="s">
        <v>188</v>
      </c>
      <c r="L15" s="423"/>
      <c r="M15" s="423"/>
      <c r="N15" s="199"/>
      <c r="O15" s="199"/>
      <c r="P15" s="199"/>
      <c r="Q15" s="407" t="s">
        <v>999</v>
      </c>
      <c r="R15" s="430" t="s">
        <v>999</v>
      </c>
      <c r="S15" s="126">
        <v>9</v>
      </c>
      <c r="T15" s="164">
        <v>-13.041803865684386</v>
      </c>
      <c r="U15" s="164">
        <v>-18.305117050863032</v>
      </c>
      <c r="V15" s="164">
        <v>-6.6249875658869115</v>
      </c>
      <c r="W15" s="164">
        <v>-15.710383614399674</v>
      </c>
      <c r="X15" s="164">
        <v>-26.528517674222144</v>
      </c>
      <c r="Y15" s="164">
        <v>-5.1347781820972784</v>
      </c>
      <c r="Z15" s="164">
        <v>-11.820482500199219</v>
      </c>
      <c r="AA15" s="164">
        <v>-28.263296610524989</v>
      </c>
      <c r="AB15" s="164">
        <v>3.1364036623070319</v>
      </c>
      <c r="AC15" s="164">
        <v>0</v>
      </c>
      <c r="AD15" s="164">
        <v>0</v>
      </c>
      <c r="AE15" s="164">
        <v>0</v>
      </c>
      <c r="AF15" s="164">
        <v>-0.625</v>
      </c>
      <c r="AG15" s="164">
        <v>-8.4791021671826599</v>
      </c>
      <c r="AH15" s="164">
        <v>4.9415204678362556</v>
      </c>
      <c r="AI15" s="164">
        <v>-6.875</v>
      </c>
      <c r="AJ15" s="164">
        <v>-20.408496732026151</v>
      </c>
      <c r="AK15" s="164">
        <v>5.3431372549019613</v>
      </c>
      <c r="AL15" s="71">
        <v>60.719604856761173</v>
      </c>
      <c r="AM15" s="71">
        <v>27.202246682968344</v>
      </c>
      <c r="AN15" s="71">
        <v>12.078148460270489</v>
      </c>
      <c r="AO15" s="72">
        <v>39.280395143238835</v>
      </c>
      <c r="AP15" s="8">
        <v>-11.037873568082006</v>
      </c>
      <c r="AQ15" s="8">
        <v>-14.697619059466902</v>
      </c>
      <c r="AR15" s="8">
        <v>-6.0942104506469832</v>
      </c>
      <c r="AS15" s="8">
        <v>-13.05183608624715</v>
      </c>
      <c r="AT15" s="8">
        <v>-22.897057947720157</v>
      </c>
      <c r="AU15" s="8">
        <v>-3.3837355345866627</v>
      </c>
      <c r="AV15" s="8">
        <v>-11.41969644067872</v>
      </c>
      <c r="AW15" s="8">
        <v>-27.078696714203573</v>
      </c>
      <c r="AX15" s="8">
        <v>3.1814173924167193</v>
      </c>
      <c r="AY15" s="164">
        <v>0</v>
      </c>
      <c r="AZ15" s="164">
        <v>0</v>
      </c>
      <c r="BA15" s="164">
        <v>0</v>
      </c>
      <c r="BB15" s="164">
        <v>-0.625</v>
      </c>
      <c r="BC15" s="164">
        <v>-8.4791021671826599</v>
      </c>
      <c r="BD15" s="164">
        <v>4.9415204678362556</v>
      </c>
      <c r="BE15" s="164">
        <v>-6.875</v>
      </c>
      <c r="BF15" s="164">
        <v>-20.408496732026151</v>
      </c>
      <c r="BG15" s="164">
        <v>5.3431372549019613</v>
      </c>
      <c r="BH15" s="24">
        <v>71.407233110640618</v>
      </c>
      <c r="BI15" s="24">
        <v>16.514618429088905</v>
      </c>
      <c r="BJ15" s="24">
        <v>12.078148460270489</v>
      </c>
      <c r="BK15" s="25">
        <v>28.592766889359396</v>
      </c>
      <c r="BL15" s="215" t="s">
        <v>552</v>
      </c>
      <c r="BN15" s="218">
        <v>0.18588977885272101</v>
      </c>
      <c r="BO15" s="218">
        <v>10.6677610453537</v>
      </c>
      <c r="BP15" s="218">
        <v>16.483919441412702</v>
      </c>
      <c r="BQ15" s="218">
        <v>10.382807687361199</v>
      </c>
      <c r="BR15" s="218">
        <v>1.6728887294469901</v>
      </c>
      <c r="BS15" s="220" t="s">
        <v>220</v>
      </c>
      <c r="BT15" s="221" t="s">
        <v>220</v>
      </c>
      <c r="BU15" s="221" t="s">
        <v>220</v>
      </c>
      <c r="BV15" s="221" t="s">
        <v>220</v>
      </c>
      <c r="BW15" s="222" t="s">
        <v>220</v>
      </c>
      <c r="BX15" s="220">
        <f>0.00185889778852721*100</f>
        <v>0.18588977885272101</v>
      </c>
      <c r="BY15" s="221">
        <f>0.106677610453537*100</f>
        <v>10.6677610453537</v>
      </c>
      <c r="BZ15" s="221">
        <f>0.164839194414127*100</f>
        <v>16.483919441412702</v>
      </c>
      <c r="CA15" s="221">
        <f>0.103828076873612*100</f>
        <v>10.382807687361199</v>
      </c>
      <c r="CB15" s="222">
        <f>0.0167288872944699*100</f>
        <v>1.6728887294469901</v>
      </c>
      <c r="CC15" s="223">
        <v>0.29728100099999999</v>
      </c>
      <c r="CD15" s="224">
        <v>8.9655943590000007</v>
      </c>
      <c r="CE15" s="224">
        <v>14.140304130000001</v>
      </c>
      <c r="CF15" s="224">
        <v>8.9447512519999997</v>
      </c>
      <c r="CG15" s="225">
        <v>1.441989688</v>
      </c>
      <c r="CH15" s="26" t="s">
        <v>220</v>
      </c>
      <c r="CI15" s="8" t="s">
        <v>220</v>
      </c>
      <c r="CJ15" s="8" t="s">
        <v>220</v>
      </c>
      <c r="CK15" s="8" t="s">
        <v>220</v>
      </c>
      <c r="CL15" s="68" t="s">
        <v>220</v>
      </c>
    </row>
    <row r="16" spans="1:90" ht="15" customHeight="1" x14ac:dyDescent="0.3">
      <c r="A16" s="211" t="s">
        <v>547</v>
      </c>
      <c r="B16" s="247" t="s">
        <v>564</v>
      </c>
      <c r="C16" s="245" t="s">
        <v>568</v>
      </c>
      <c r="D16" s="245" t="s">
        <v>572</v>
      </c>
      <c r="E16" s="205" t="s">
        <v>186</v>
      </c>
      <c r="F16" s="128" t="s">
        <v>1012</v>
      </c>
      <c r="G16" s="198" t="s">
        <v>335</v>
      </c>
      <c r="H16" s="198" t="s">
        <v>570</v>
      </c>
      <c r="I16" s="153"/>
      <c r="J16" s="154" t="s">
        <v>737</v>
      </c>
      <c r="K16" s="423" t="s">
        <v>188</v>
      </c>
      <c r="L16" s="199"/>
      <c r="M16" s="199"/>
      <c r="N16" s="199"/>
      <c r="O16" s="199"/>
      <c r="P16" s="199"/>
      <c r="Q16" s="407" t="s">
        <v>999</v>
      </c>
      <c r="R16" s="430" t="s">
        <v>999</v>
      </c>
      <c r="S16" s="126">
        <v>10</v>
      </c>
      <c r="T16" s="164">
        <v>-13.575697492402369</v>
      </c>
      <c r="U16" s="164">
        <v>-17.612902741966394</v>
      </c>
      <c r="V16" s="164">
        <v>-7.7797822623440709</v>
      </c>
      <c r="W16" s="164">
        <v>-15.71017661651527</v>
      </c>
      <c r="X16" s="164">
        <v>-25.711118405878054</v>
      </c>
      <c r="Y16" s="164">
        <v>-5.1795049194085721</v>
      </c>
      <c r="Z16" s="164">
        <v>-12.674242084635083</v>
      </c>
      <c r="AA16" s="164">
        <v>-28.625338682602361</v>
      </c>
      <c r="AB16" s="164">
        <v>2.5127370372333075</v>
      </c>
      <c r="AC16" s="164">
        <v>0</v>
      </c>
      <c r="AD16" s="164">
        <v>0</v>
      </c>
      <c r="AE16" s="164">
        <v>0</v>
      </c>
      <c r="AF16" s="164">
        <v>-0.625</v>
      </c>
      <c r="AG16" s="164">
        <v>-8.4791021671826599</v>
      </c>
      <c r="AH16" s="164">
        <v>4.9415204678362556</v>
      </c>
      <c r="AI16" s="164">
        <v>-6.875</v>
      </c>
      <c r="AJ16" s="164">
        <v>-20.408496732026151</v>
      </c>
      <c r="AK16" s="164">
        <v>5.3431372549019613</v>
      </c>
      <c r="AL16" s="71">
        <v>67.548823447725852</v>
      </c>
      <c r="AM16" s="71">
        <v>16.512661895144436</v>
      </c>
      <c r="AN16" s="71">
        <v>15.938514657129712</v>
      </c>
      <c r="AO16" s="72">
        <v>32.451176552274148</v>
      </c>
      <c r="AP16" s="8">
        <v>-12.523008167147921</v>
      </c>
      <c r="AQ16" s="8">
        <v>-15.71783950999513</v>
      </c>
      <c r="AR16" s="8">
        <v>-7.5009584908930833</v>
      </c>
      <c r="AS16" s="8">
        <v>-14.313608778344374</v>
      </c>
      <c r="AT16" s="8">
        <v>-23.803467778631244</v>
      </c>
      <c r="AU16" s="8">
        <v>-4.2596605988226059</v>
      </c>
      <c r="AV16" s="8">
        <v>-12.463704219584173</v>
      </c>
      <c r="AW16" s="8">
        <v>-28.003053732348803</v>
      </c>
      <c r="AX16" s="8">
        <v>2.5363833053859679</v>
      </c>
      <c r="AY16" s="164">
        <v>0</v>
      </c>
      <c r="AZ16" s="164">
        <v>0</v>
      </c>
      <c r="BA16" s="164">
        <v>0</v>
      </c>
      <c r="BB16" s="164">
        <v>-0.625</v>
      </c>
      <c r="BC16" s="164">
        <v>-8.4791021671826599</v>
      </c>
      <c r="BD16" s="164">
        <v>4.9415204678362556</v>
      </c>
      <c r="BE16" s="164">
        <v>-6.875</v>
      </c>
      <c r="BF16" s="164">
        <v>-20.408496732026151</v>
      </c>
      <c r="BG16" s="164">
        <v>5.3431372549019613</v>
      </c>
      <c r="BH16" s="24">
        <v>73.163166515749552</v>
      </c>
      <c r="BI16" s="24">
        <v>10.898318827120736</v>
      </c>
      <c r="BJ16" s="24">
        <v>15.938514657129712</v>
      </c>
      <c r="BK16" s="25">
        <v>26.836833484250448</v>
      </c>
      <c r="BL16" s="215" t="s">
        <v>552</v>
      </c>
      <c r="BN16" s="219">
        <v>0.35748815894230401</v>
      </c>
      <c r="BO16" s="219">
        <v>5.5942724563531199</v>
      </c>
      <c r="BP16" s="219">
        <v>10.85935862779</v>
      </c>
      <c r="BQ16" s="219">
        <v>10.0722347804099</v>
      </c>
      <c r="BR16" s="219">
        <v>5.8093015741092904</v>
      </c>
      <c r="BS16" s="220" t="s">
        <v>220</v>
      </c>
      <c r="BT16" s="221" t="s">
        <v>220</v>
      </c>
      <c r="BU16" s="221" t="s">
        <v>220</v>
      </c>
      <c r="BV16" s="221" t="s">
        <v>220</v>
      </c>
      <c r="BW16" s="222" t="s">
        <v>220</v>
      </c>
      <c r="BX16" s="220">
        <f>0.00357488158942304*100</f>
        <v>0.35748815894230401</v>
      </c>
      <c r="BY16" s="221">
        <f>0.0559427245635312*100</f>
        <v>5.5942724563531199</v>
      </c>
      <c r="BZ16" s="221">
        <f>0.1085935862779*100</f>
        <v>10.85935862779</v>
      </c>
      <c r="CA16" s="221">
        <f>0.100722347804099*100</f>
        <v>10.0722347804099</v>
      </c>
      <c r="CB16" s="222">
        <f>0.0580930157410929*100</f>
        <v>5.8093015741092904</v>
      </c>
      <c r="CC16" s="223">
        <v>0.58014270300000004</v>
      </c>
      <c r="CD16" s="224">
        <v>4.9306614169999996</v>
      </c>
      <c r="CE16" s="224">
        <v>9.2524293600000007</v>
      </c>
      <c r="CF16" s="224">
        <v>8.5292182830000005</v>
      </c>
      <c r="CG16" s="225">
        <v>4.9159670039999996</v>
      </c>
      <c r="CH16" s="26" t="s">
        <v>220</v>
      </c>
      <c r="CI16" s="8" t="s">
        <v>220</v>
      </c>
      <c r="CJ16" s="8" t="s">
        <v>220</v>
      </c>
      <c r="CK16" s="8" t="s">
        <v>220</v>
      </c>
      <c r="CL16" s="68" t="s">
        <v>220</v>
      </c>
    </row>
    <row r="17" spans="1:90" ht="15" customHeight="1" x14ac:dyDescent="0.3">
      <c r="A17" s="211" t="s">
        <v>547</v>
      </c>
      <c r="B17" s="247" t="s">
        <v>614</v>
      </c>
      <c r="C17" s="211" t="s">
        <v>672</v>
      </c>
      <c r="D17" s="211" t="s">
        <v>673</v>
      </c>
      <c r="E17" s="205" t="s">
        <v>704</v>
      </c>
      <c r="F17" s="153" t="s">
        <v>1046</v>
      </c>
      <c r="G17" s="129" t="s">
        <v>211</v>
      </c>
      <c r="H17" s="198"/>
      <c r="I17" s="128" t="s">
        <v>187</v>
      </c>
      <c r="J17" s="154" t="s">
        <v>267</v>
      </c>
      <c r="K17" s="423" t="s">
        <v>187</v>
      </c>
      <c r="L17" s="199"/>
      <c r="M17" s="424" t="s">
        <v>187</v>
      </c>
      <c r="N17" s="424" t="s">
        <v>267</v>
      </c>
      <c r="P17" s="424">
        <v>279734</v>
      </c>
      <c r="Q17" s="424">
        <v>1508</v>
      </c>
      <c r="R17" s="590">
        <v>20000</v>
      </c>
      <c r="S17" s="126"/>
      <c r="U17" s="146"/>
      <c r="V17" s="146"/>
      <c r="W17" s="146"/>
      <c r="X17" s="146"/>
      <c r="Y17" s="146"/>
      <c r="Z17" s="146"/>
      <c r="AA17" s="146"/>
      <c r="AB17" s="146"/>
      <c r="AC17" s="146"/>
      <c r="AD17" s="146"/>
      <c r="AE17" s="146"/>
      <c r="AF17" s="146"/>
      <c r="AG17" s="146"/>
      <c r="AH17" s="146"/>
      <c r="AI17" s="146"/>
      <c r="AJ17" s="146"/>
      <c r="AK17" s="146"/>
      <c r="AL17" s="71">
        <v>73.407172908269857</v>
      </c>
      <c r="AM17" s="71">
        <v>16.672833881979397</v>
      </c>
      <c r="AN17" s="71">
        <v>9.9199932097507428</v>
      </c>
      <c r="AO17" s="72">
        <v>26.59282709173014</v>
      </c>
      <c r="AP17" s="146"/>
      <c r="AQ17" s="146"/>
      <c r="AR17" s="146"/>
      <c r="AS17" s="146"/>
      <c r="AT17" s="146"/>
      <c r="AU17" s="146"/>
      <c r="AV17" s="146"/>
      <c r="AW17" s="146"/>
      <c r="AX17" s="146"/>
      <c r="AY17" s="146"/>
      <c r="AZ17" s="146"/>
      <c r="BA17" s="146"/>
      <c r="BB17" s="146"/>
      <c r="BC17" s="146"/>
      <c r="BD17" s="146"/>
      <c r="BE17" s="146"/>
      <c r="BF17" s="146"/>
      <c r="BG17" s="146"/>
      <c r="BH17" s="24">
        <v>78.899944954702619</v>
      </c>
      <c r="BI17" s="24">
        <v>11.180061835546633</v>
      </c>
      <c r="BJ17" s="24">
        <v>9.9199932097507428</v>
      </c>
      <c r="BK17" s="25">
        <v>21.100055045297374</v>
      </c>
      <c r="BL17" s="215" t="s">
        <v>556</v>
      </c>
      <c r="BN17" s="218">
        <v>0.175911647261218</v>
      </c>
      <c r="BO17" s="218">
        <v>5.4831096206455801</v>
      </c>
      <c r="BP17" s="218">
        <v>11.1603948046069</v>
      </c>
      <c r="BQ17" s="218">
        <v>7.7059963534544096</v>
      </c>
      <c r="BR17" s="218">
        <v>2.1965464328328599</v>
      </c>
      <c r="BS17" s="220">
        <v>0.175911647261218</v>
      </c>
      <c r="BT17" s="221">
        <v>5.4831096206455801</v>
      </c>
      <c r="BU17" s="221">
        <v>11.1603948046069</v>
      </c>
      <c r="BV17" s="221">
        <v>7.7059963534544096</v>
      </c>
      <c r="BW17" s="222">
        <v>2.1965464328328599</v>
      </c>
      <c r="BX17" s="220">
        <v>0.26615772058867898</v>
      </c>
      <c r="BY17" s="221">
        <v>5.9012492403987604</v>
      </c>
      <c r="BZ17" s="221">
        <v>12.7605387673563</v>
      </c>
      <c r="CA17" s="221">
        <v>10.196530395361201</v>
      </c>
      <c r="CB17" s="222">
        <v>3.8967198142036898</v>
      </c>
      <c r="CC17" s="223">
        <v>0.50937966599999995</v>
      </c>
      <c r="CD17" s="224">
        <v>4.3336498250000002</v>
      </c>
      <c r="CE17" s="224">
        <v>9.1364128949999994</v>
      </c>
      <c r="CF17" s="224">
        <v>7.1346708530000003</v>
      </c>
      <c r="CG17" s="225">
        <v>2.6124494130000002</v>
      </c>
      <c r="CH17" s="26">
        <v>0.27539267499999998</v>
      </c>
      <c r="CI17" s="8">
        <v>3.8178278309999998</v>
      </c>
      <c r="CJ17" s="8">
        <v>7.6966684320000001</v>
      </c>
      <c r="CK17" s="8">
        <v>5.2587923730000004</v>
      </c>
      <c r="CL17" s="68">
        <v>1.426864178</v>
      </c>
    </row>
    <row r="18" spans="1:90" ht="15" customHeight="1" x14ac:dyDescent="0.3">
      <c r="A18" s="211" t="s">
        <v>547</v>
      </c>
      <c r="B18" s="211" t="s">
        <v>548</v>
      </c>
      <c r="C18" s="211" t="s">
        <v>573</v>
      </c>
      <c r="D18" s="211" t="s">
        <v>745</v>
      </c>
      <c r="E18" s="205" t="s">
        <v>186</v>
      </c>
      <c r="F18" s="128" t="s">
        <v>1015</v>
      </c>
      <c r="G18" s="198" t="s">
        <v>335</v>
      </c>
      <c r="H18" s="198"/>
      <c r="I18" s="128" t="s">
        <v>201</v>
      </c>
      <c r="J18" s="154" t="s">
        <v>738</v>
      </c>
      <c r="K18" s="423" t="s">
        <v>187</v>
      </c>
      <c r="L18" s="199"/>
      <c r="M18" s="199"/>
      <c r="N18" s="199" t="s">
        <v>201</v>
      </c>
      <c r="O18" s="199"/>
      <c r="P18" s="199"/>
      <c r="Q18" s="407">
        <v>10388</v>
      </c>
      <c r="R18" s="430" t="s">
        <v>1014</v>
      </c>
      <c r="S18" s="126">
        <v>11</v>
      </c>
      <c r="T18" s="164">
        <v>-12.670687205217789</v>
      </c>
      <c r="U18" s="164">
        <v>-18.532833864528143</v>
      </c>
      <c r="V18" s="164">
        <v>-6.4305201231202744</v>
      </c>
      <c r="W18" s="164">
        <v>-17.96271886460103</v>
      </c>
      <c r="X18" s="164">
        <v>-28.597096813435186</v>
      </c>
      <c r="Y18" s="164">
        <v>-8.8957683727101795</v>
      </c>
      <c r="Z18" s="164">
        <v>-17.900628741218313</v>
      </c>
      <c r="AA18" s="164">
        <v>-37.212801668884097</v>
      </c>
      <c r="AB18" s="164">
        <v>-5.1428802562666505</v>
      </c>
      <c r="AC18" s="164">
        <v>0</v>
      </c>
      <c r="AD18" s="164">
        <v>0</v>
      </c>
      <c r="AE18" s="164">
        <v>0</v>
      </c>
      <c r="AF18" s="164">
        <v>-2.7142857142857082</v>
      </c>
      <c r="AG18" s="164">
        <v>-10.142857142857139</v>
      </c>
      <c r="AH18" s="164">
        <v>3.8253968253968367</v>
      </c>
      <c r="AI18" s="164">
        <v>-9.1428571428571388</v>
      </c>
      <c r="AJ18" s="164">
        <v>-25.393650793650792</v>
      </c>
      <c r="AK18" s="164">
        <v>1.8761904761904731</v>
      </c>
      <c r="AL18" s="71">
        <v>59.625575641178351</v>
      </c>
      <c r="AM18" s="71">
        <v>23.487297113006079</v>
      </c>
      <c r="AN18" s="71">
        <v>16.88712724581557</v>
      </c>
      <c r="AO18" s="72">
        <v>40.374424358821649</v>
      </c>
      <c r="AP18" s="77">
        <v>-11.706204477278973</v>
      </c>
      <c r="AQ18" s="8">
        <v>-16.396373569279007</v>
      </c>
      <c r="AR18" s="8">
        <v>-6.4946862598878567</v>
      </c>
      <c r="AS18" s="8">
        <v>-16.567055622995454</v>
      </c>
      <c r="AT18" s="8">
        <v>-26.343215047342497</v>
      </c>
      <c r="AU18" s="8">
        <v>-7.9094924776227771</v>
      </c>
      <c r="AV18" s="8">
        <v>-17.435407660683111</v>
      </c>
      <c r="AW18" s="8">
        <v>-36.248003220779481</v>
      </c>
      <c r="AX18" s="8">
        <v>-4.9567240183793757</v>
      </c>
      <c r="AY18" s="164">
        <v>0</v>
      </c>
      <c r="AZ18" s="164">
        <v>0</v>
      </c>
      <c r="BA18" s="164">
        <v>0</v>
      </c>
      <c r="BB18" s="164">
        <v>-2.7142857142857082</v>
      </c>
      <c r="BC18" s="164">
        <v>-10.142857142857139</v>
      </c>
      <c r="BD18" s="164">
        <v>3.8253968253968367</v>
      </c>
      <c r="BE18" s="164">
        <v>-9.1428571428571388</v>
      </c>
      <c r="BF18" s="164">
        <v>-25.393650793650792</v>
      </c>
      <c r="BG18" s="164">
        <v>1.8761904761904731</v>
      </c>
      <c r="BH18" s="24">
        <v>67.568374577145107</v>
      </c>
      <c r="BI18" s="24">
        <v>15.544498177039323</v>
      </c>
      <c r="BJ18" s="24">
        <v>16.88712724581557</v>
      </c>
      <c r="BK18" s="25">
        <v>32.431625422854893</v>
      </c>
      <c r="BL18" s="215" t="s">
        <v>556</v>
      </c>
      <c r="BN18" s="218">
        <v>0.42836748939814201</v>
      </c>
      <c r="BO18" s="218">
        <v>7.9087745675768097</v>
      </c>
      <c r="BP18" s="218">
        <v>15.477910600458801</v>
      </c>
      <c r="BQ18" s="218">
        <v>12.056216083941299</v>
      </c>
      <c r="BR18" s="218">
        <v>4.7585721988599001</v>
      </c>
      <c r="BS18" s="220">
        <v>0.42836748939814201</v>
      </c>
      <c r="BT18" s="221">
        <v>7.9087745675768097</v>
      </c>
      <c r="BU18" s="221">
        <v>15.477910600458801</v>
      </c>
      <c r="BV18" s="221">
        <v>12.056216083941299</v>
      </c>
      <c r="BW18" s="222">
        <v>4.7585721988599001</v>
      </c>
      <c r="BX18" s="220" t="s">
        <v>220</v>
      </c>
      <c r="BY18" s="221" t="s">
        <v>220</v>
      </c>
      <c r="BZ18" s="221" t="s">
        <v>220</v>
      </c>
      <c r="CA18" s="221" t="s">
        <v>220</v>
      </c>
      <c r="CB18" s="222" t="s">
        <v>220</v>
      </c>
      <c r="CC18" s="223" t="s">
        <v>220</v>
      </c>
      <c r="CD18" s="224" t="s">
        <v>220</v>
      </c>
      <c r="CE18" s="224" t="s">
        <v>220</v>
      </c>
      <c r="CF18" s="224" t="s">
        <v>220</v>
      </c>
      <c r="CG18" s="225" t="s">
        <v>220</v>
      </c>
      <c r="CH18" s="26">
        <v>0.94268492999999998</v>
      </c>
      <c r="CI18" s="8">
        <v>5.4425919350000003</v>
      </c>
      <c r="CJ18" s="8">
        <v>10.297057300000001</v>
      </c>
      <c r="CK18" s="8">
        <v>7.8646505759999998</v>
      </c>
      <c r="CL18" s="68">
        <v>2.9631894509999999</v>
      </c>
    </row>
    <row r="19" spans="1:90" ht="15" customHeight="1" x14ac:dyDescent="0.3">
      <c r="A19" s="211" t="s">
        <v>547</v>
      </c>
      <c r="B19" s="245" t="s">
        <v>574</v>
      </c>
      <c r="C19" s="245" t="s">
        <v>575</v>
      </c>
      <c r="D19" s="245" t="s">
        <v>576</v>
      </c>
      <c r="E19" s="205" t="s">
        <v>186</v>
      </c>
      <c r="F19" s="128" t="s">
        <v>748</v>
      </c>
      <c r="G19" s="198" t="s">
        <v>211</v>
      </c>
      <c r="H19" s="198"/>
      <c r="I19" s="153"/>
      <c r="J19" s="154" t="s">
        <v>188</v>
      </c>
      <c r="K19" s="423" t="s">
        <v>188</v>
      </c>
      <c r="L19" s="199"/>
      <c r="M19" s="199"/>
      <c r="N19" s="199"/>
      <c r="O19" s="199"/>
      <c r="P19" s="199"/>
      <c r="Q19" s="424" t="s">
        <v>999</v>
      </c>
      <c r="R19" s="429" t="s">
        <v>999</v>
      </c>
      <c r="S19" s="126">
        <v>12</v>
      </c>
      <c r="T19" s="164">
        <v>-9.4619192735367506</v>
      </c>
      <c r="U19" s="164">
        <v>-14.780611400070612</v>
      </c>
      <c r="V19" s="164">
        <v>-1.9952196489123821</v>
      </c>
      <c r="W19" s="164">
        <v>-13.29440415722469</v>
      </c>
      <c r="X19" s="164">
        <v>-21.112189766451436</v>
      </c>
      <c r="Y19" s="164">
        <v>-4.6287295203696885</v>
      </c>
      <c r="Z19" s="164">
        <v>-14.273032994842026</v>
      </c>
      <c r="AA19" s="164">
        <v>-27.562929505603279</v>
      </c>
      <c r="AB19" s="164">
        <v>0.69313271339159144</v>
      </c>
      <c r="AC19" s="164">
        <v>0</v>
      </c>
      <c r="AD19" s="164">
        <v>0</v>
      </c>
      <c r="AE19" s="164">
        <v>0</v>
      </c>
      <c r="AF19" s="164">
        <v>-1</v>
      </c>
      <c r="AG19" s="164">
        <v>-6.0277777777777715</v>
      </c>
      <c r="AH19" s="164">
        <v>3.5277777777777715</v>
      </c>
      <c r="AI19" s="164">
        <v>-7.75</v>
      </c>
      <c r="AJ19" s="164">
        <v>-18.675016160310278</v>
      </c>
      <c r="AK19" s="164">
        <v>5.6280704589528057</v>
      </c>
      <c r="AL19" s="71">
        <v>66.180599817155297</v>
      </c>
      <c r="AM19" s="71">
        <v>19.720642215014063</v>
      </c>
      <c r="AN19" s="71">
        <v>14.098757967830633</v>
      </c>
      <c r="AO19" s="72">
        <v>33.819400182844696</v>
      </c>
      <c r="AP19" s="8">
        <v>-8.7390865387397554</v>
      </c>
      <c r="AQ19" s="8">
        <v>-13.11188076702463</v>
      </c>
      <c r="AR19" s="8">
        <v>-2.6811039181381346</v>
      </c>
      <c r="AS19" s="8">
        <v>-12.044328721752223</v>
      </c>
      <c r="AT19" s="8">
        <v>-19.425183043777267</v>
      </c>
      <c r="AU19" s="8">
        <v>-3.9160840146466143</v>
      </c>
      <c r="AV19" s="8">
        <v>-13.822325524909786</v>
      </c>
      <c r="AW19" s="8">
        <v>-26.770203791767543</v>
      </c>
      <c r="AX19" s="8">
        <v>0.95048377812030083</v>
      </c>
      <c r="AY19" s="164">
        <v>0</v>
      </c>
      <c r="AZ19" s="164">
        <v>0</v>
      </c>
      <c r="BA19" s="164">
        <v>0</v>
      </c>
      <c r="BB19" s="164">
        <v>-1</v>
      </c>
      <c r="BC19" s="164">
        <v>-6.0277777777777715</v>
      </c>
      <c r="BD19" s="164">
        <v>3.5277777777777715</v>
      </c>
      <c r="BE19" s="164">
        <v>-7.75</v>
      </c>
      <c r="BF19" s="164">
        <v>-18.675016160310278</v>
      </c>
      <c r="BG19" s="164">
        <v>5.6280704589528057</v>
      </c>
      <c r="BH19" s="24">
        <v>72.983731438774058</v>
      </c>
      <c r="BI19" s="24">
        <v>12.91751059339531</v>
      </c>
      <c r="BJ19" s="24">
        <v>14.098757967830633</v>
      </c>
      <c r="BK19" s="25">
        <v>27.016268561225942</v>
      </c>
      <c r="BL19" s="215" t="s">
        <v>552</v>
      </c>
      <c r="BN19" s="218">
        <v>0.31104122515256299</v>
      </c>
      <c r="BO19" s="218">
        <v>6.7819710776741298</v>
      </c>
      <c r="BP19" s="218">
        <v>12.8773318101864</v>
      </c>
      <c r="BQ19" s="218">
        <v>10.015108619819699</v>
      </c>
      <c r="BR19" s="218">
        <v>4.0397963984964997</v>
      </c>
      <c r="BS19" s="220" t="s">
        <v>220</v>
      </c>
      <c r="BT19" s="221" t="s">
        <v>220</v>
      </c>
      <c r="BU19" s="221" t="s">
        <v>220</v>
      </c>
      <c r="BV19" s="221" t="s">
        <v>220</v>
      </c>
      <c r="BW19" s="222" t="s">
        <v>220</v>
      </c>
      <c r="BX19" s="220">
        <v>0.31104122515256299</v>
      </c>
      <c r="BY19" s="221">
        <v>6.7819710776741298</v>
      </c>
      <c r="BZ19" s="221">
        <v>12.8773318101864</v>
      </c>
      <c r="CA19" s="221">
        <v>10.015108619819699</v>
      </c>
      <c r="CB19" s="222">
        <v>4.0397963984964997</v>
      </c>
      <c r="CC19" s="223">
        <v>0.62761604000000004</v>
      </c>
      <c r="CD19" s="224">
        <v>5.3991473540000001</v>
      </c>
      <c r="CE19" s="224">
        <v>10.00994317</v>
      </c>
      <c r="CF19" s="224">
        <v>7.6742087750000003</v>
      </c>
      <c r="CG19" s="225">
        <v>2.979213723</v>
      </c>
      <c r="CH19" s="26" t="s">
        <v>220</v>
      </c>
      <c r="CI19" s="8" t="s">
        <v>220</v>
      </c>
      <c r="CJ19" s="8" t="s">
        <v>220</v>
      </c>
      <c r="CK19" s="8" t="s">
        <v>220</v>
      </c>
      <c r="CL19" s="68" t="s">
        <v>220</v>
      </c>
    </row>
    <row r="20" spans="1:90" ht="15" customHeight="1" x14ac:dyDescent="0.3">
      <c r="A20" s="211" t="s">
        <v>547</v>
      </c>
      <c r="B20" s="248" t="s">
        <v>587</v>
      </c>
      <c r="C20" s="211" t="s">
        <v>686</v>
      </c>
      <c r="D20" s="211" t="s">
        <v>687</v>
      </c>
      <c r="E20" s="205" t="s">
        <v>704</v>
      </c>
      <c r="F20" s="128" t="s">
        <v>1047</v>
      </c>
      <c r="G20" s="129" t="s">
        <v>335</v>
      </c>
      <c r="H20" s="198"/>
      <c r="I20" s="128" t="s">
        <v>201</v>
      </c>
      <c r="J20" s="154" t="s">
        <v>737</v>
      </c>
      <c r="K20" s="423" t="s">
        <v>267</v>
      </c>
      <c r="L20" s="199" t="s">
        <v>201</v>
      </c>
      <c r="M20" s="199" t="s">
        <v>187</v>
      </c>
      <c r="N20" s="199"/>
      <c r="P20" s="128">
        <v>13718</v>
      </c>
      <c r="Q20" s="199">
        <v>1900</v>
      </c>
      <c r="R20" s="199" t="s">
        <v>910</v>
      </c>
      <c r="S20" s="126"/>
      <c r="T20" s="146"/>
      <c r="U20" s="146"/>
      <c r="V20" s="146"/>
      <c r="W20" s="146"/>
      <c r="X20" s="146"/>
      <c r="Y20" s="146"/>
      <c r="Z20" s="146"/>
      <c r="AA20" s="146"/>
      <c r="AB20" s="146"/>
      <c r="AC20" s="146"/>
      <c r="AD20" s="146"/>
      <c r="AE20" s="146"/>
      <c r="AF20" s="146"/>
      <c r="AG20" s="146"/>
      <c r="AH20" s="146"/>
      <c r="AI20" s="146"/>
      <c r="AJ20" s="146"/>
      <c r="AK20" s="146"/>
      <c r="AL20" s="71">
        <v>57.295211049335961</v>
      </c>
      <c r="AM20" s="71">
        <v>21.045589780270987</v>
      </c>
      <c r="AN20" s="71">
        <v>21.659199170393055</v>
      </c>
      <c r="AO20" s="72">
        <v>42.704788950664039</v>
      </c>
      <c r="AP20" s="146"/>
      <c r="AQ20" s="146"/>
      <c r="AR20" s="146"/>
      <c r="AS20" s="146"/>
      <c r="AT20" s="146"/>
      <c r="AU20" s="146"/>
      <c r="AV20" s="146"/>
      <c r="AW20" s="146"/>
      <c r="AX20" s="146"/>
      <c r="AY20" s="146"/>
      <c r="AZ20" s="146"/>
      <c r="BA20" s="146"/>
      <c r="BB20" s="146"/>
      <c r="BC20" s="146"/>
      <c r="BD20" s="146"/>
      <c r="BE20" s="146"/>
      <c r="BF20" s="146"/>
      <c r="BG20" s="146"/>
      <c r="BH20" s="24">
        <v>62.994701766245186</v>
      </c>
      <c r="BI20" s="24">
        <v>15.346099063361764</v>
      </c>
      <c r="BJ20" s="24">
        <v>21.659199170393055</v>
      </c>
      <c r="BK20" s="25">
        <v>37.005298233754822</v>
      </c>
      <c r="BL20" s="215" t="s">
        <v>556</v>
      </c>
      <c r="BN20" s="218">
        <v>0.399753079874407</v>
      </c>
      <c r="BO20" s="218">
        <v>5.6767068272312198</v>
      </c>
      <c r="BP20" s="218">
        <v>15.2847525597154</v>
      </c>
      <c r="BQ20" s="218">
        <v>12.9716643269643</v>
      </c>
      <c r="BR20" s="218">
        <v>8.6009515276689807</v>
      </c>
      <c r="BS20" s="220">
        <v>0.399753079874407</v>
      </c>
      <c r="BT20" s="221">
        <v>5.6767068272312198</v>
      </c>
      <c r="BU20" s="221">
        <v>15.2847525597154</v>
      </c>
      <c r="BV20" s="221">
        <v>12.9716643269643</v>
      </c>
      <c r="BW20" s="222">
        <v>8.6009515276689807</v>
      </c>
      <c r="BX20" s="220">
        <f>0.00241369586522176*100</f>
        <v>0.24136958652217602</v>
      </c>
      <c r="BY20" s="221">
        <f>0.0438830691482653*100</f>
        <v>4.3883069148265301</v>
      </c>
      <c r="BZ20" s="221">
        <f>0.116720972586202*100</f>
        <v>11.6720972586202</v>
      </c>
      <c r="CA20" s="221">
        <f>0.107480662585674*100</f>
        <v>10.7480662585674</v>
      </c>
      <c r="CB20" s="222">
        <f>0.077144764003551*100</f>
        <v>7.7144764003550996</v>
      </c>
      <c r="CC20" s="223">
        <v>0.22796068999999999</v>
      </c>
      <c r="CD20" s="224">
        <v>2.9544761409999998</v>
      </c>
      <c r="CE20" s="224">
        <v>6.3252718640000003</v>
      </c>
      <c r="CF20" s="224">
        <v>5.5696513679999997</v>
      </c>
      <c r="CG20" s="225">
        <v>3.9392408290000001</v>
      </c>
      <c r="CH20" s="26">
        <v>0.54151756900000003</v>
      </c>
      <c r="CI20" s="8">
        <v>4.2669888839999999</v>
      </c>
      <c r="CJ20" s="8">
        <v>8.762802207</v>
      </c>
      <c r="CK20" s="8">
        <v>7.131000792</v>
      </c>
      <c r="CL20" s="68">
        <v>4.6809568490000002</v>
      </c>
    </row>
    <row r="21" spans="1:90" ht="15" customHeight="1" x14ac:dyDescent="0.3">
      <c r="A21" s="211" t="s">
        <v>547</v>
      </c>
      <c r="B21" s="211" t="s">
        <v>577</v>
      </c>
      <c r="C21" s="211" t="s">
        <v>578</v>
      </c>
      <c r="D21" s="211" t="s">
        <v>579</v>
      </c>
      <c r="E21" s="205" t="s">
        <v>200</v>
      </c>
      <c r="F21" s="128" t="s">
        <v>1017</v>
      </c>
      <c r="G21" s="198" t="s">
        <v>335</v>
      </c>
      <c r="H21" s="198"/>
      <c r="I21" s="128" t="s">
        <v>187</v>
      </c>
      <c r="J21" s="154" t="s">
        <v>739</v>
      </c>
      <c r="K21" s="423" t="s">
        <v>187</v>
      </c>
      <c r="L21" s="199" t="s">
        <v>187</v>
      </c>
      <c r="M21" s="199" t="s">
        <v>187</v>
      </c>
      <c r="N21" s="199"/>
      <c r="O21" s="199"/>
      <c r="P21" s="199">
        <v>159706</v>
      </c>
      <c r="Q21" s="407" t="s">
        <v>1016</v>
      </c>
      <c r="R21" s="430" t="s">
        <v>999</v>
      </c>
      <c r="S21" s="126">
        <v>13</v>
      </c>
      <c r="T21" s="164">
        <v>-14.836510957692539</v>
      </c>
      <c r="U21" s="164">
        <v>-18.804085574476602</v>
      </c>
      <c r="V21" s="164">
        <v>-10.740037494342999</v>
      </c>
      <c r="W21" s="164">
        <v>-17.892957420361299</v>
      </c>
      <c r="X21" s="164">
        <v>-26.490383220420739</v>
      </c>
      <c r="Y21" s="164">
        <v>-9.0654920980623359</v>
      </c>
      <c r="Z21" s="164">
        <v>-22.233493265876078</v>
      </c>
      <c r="AA21" s="164">
        <v>-37.287472400506573</v>
      </c>
      <c r="AB21" s="164">
        <v>-7.3738800658428403</v>
      </c>
      <c r="AC21" s="164">
        <v>0</v>
      </c>
      <c r="AD21" s="164">
        <v>0</v>
      </c>
      <c r="AE21" s="164">
        <v>0</v>
      </c>
      <c r="AF21" s="164">
        <v>-2.8571428571428612</v>
      </c>
      <c r="AG21" s="164">
        <v>-9.5697577276524726</v>
      </c>
      <c r="AH21" s="164">
        <v>2.4269005847953196</v>
      </c>
      <c r="AI21" s="164">
        <v>-12.285714285714292</v>
      </c>
      <c r="AJ21" s="164">
        <v>-24.362215061463189</v>
      </c>
      <c r="AK21" s="164">
        <v>-0.18462823725982958</v>
      </c>
      <c r="AL21" s="71">
        <v>72.812023601987278</v>
      </c>
      <c r="AM21" s="71">
        <v>12.891925506196023</v>
      </c>
      <c r="AN21" s="71">
        <v>14.29605089181671</v>
      </c>
      <c r="AO21" s="72">
        <v>27.187976398012733</v>
      </c>
      <c r="AP21" s="77">
        <v>-13.225395649337543</v>
      </c>
      <c r="AQ21" s="8">
        <v>-16.495017016543642</v>
      </c>
      <c r="AR21" s="8">
        <v>-9.8833333224399524</v>
      </c>
      <c r="AS21" s="8">
        <v>-16.077354399792014</v>
      </c>
      <c r="AT21" s="8">
        <v>-24.2534953226602</v>
      </c>
      <c r="AU21" s="8">
        <v>-7.8880548615782402</v>
      </c>
      <c r="AV21" s="8">
        <v>-21.229644496824122</v>
      </c>
      <c r="AW21" s="8">
        <v>-35.665570767826381</v>
      </c>
      <c r="AX21" s="8">
        <v>-6.7764514660424027</v>
      </c>
      <c r="AY21" s="164">
        <v>0</v>
      </c>
      <c r="AZ21" s="164">
        <v>0</v>
      </c>
      <c r="BA21" s="164">
        <v>0</v>
      </c>
      <c r="BB21" s="164">
        <v>-2.8571428571428612</v>
      </c>
      <c r="BC21" s="164">
        <v>-9.5697577276524726</v>
      </c>
      <c r="BD21" s="164">
        <v>2.4269005847953196</v>
      </c>
      <c r="BE21" s="164">
        <v>-12.285714285714292</v>
      </c>
      <c r="BF21" s="164">
        <v>-24.362215061463189</v>
      </c>
      <c r="BG21" s="164">
        <v>-0.18462823725982958</v>
      </c>
      <c r="BH21" s="24">
        <v>77.149641739866112</v>
      </c>
      <c r="BI21" s="24">
        <v>8.5543073683171809</v>
      </c>
      <c r="BJ21" s="24">
        <v>14.29605089181671</v>
      </c>
      <c r="BK21" s="25">
        <v>22.850358260133891</v>
      </c>
      <c r="BL21" s="215" t="s">
        <v>552</v>
      </c>
      <c r="BN21" s="218">
        <v>3.6745686339539403E-2</v>
      </c>
      <c r="BO21" s="218">
        <v>4.3360242503232902</v>
      </c>
      <c r="BP21" s="218">
        <v>8.5511640293630986</v>
      </c>
      <c r="BQ21" s="218">
        <v>7.5748844003356606</v>
      </c>
      <c r="BR21" s="218">
        <v>6.715913309461401</v>
      </c>
      <c r="BS21" s="220">
        <v>0.23852985871434501</v>
      </c>
      <c r="BT21" s="221">
        <v>5.6082987213892901</v>
      </c>
      <c r="BU21" s="221">
        <v>7.8992261239634001</v>
      </c>
      <c r="BV21" s="221">
        <v>7.9774477347038104</v>
      </c>
      <c r="BW21" s="222">
        <v>5.2911988666354297</v>
      </c>
      <c r="BX21" s="220">
        <f>0.000367456863395394*100</f>
        <v>3.6745686339539403E-2</v>
      </c>
      <c r="BY21" s="221">
        <f>0.0433602425032329*100</f>
        <v>4.3360242503232902</v>
      </c>
      <c r="BZ21" s="221">
        <f>0.085511640293631*100</f>
        <v>8.5511640293630986</v>
      </c>
      <c r="CA21" s="221">
        <f>0.0757488440033566*100</f>
        <v>7.5748844003356606</v>
      </c>
      <c r="CB21" s="222">
        <f>0.067159133094614*100</f>
        <v>6.715913309461401</v>
      </c>
      <c r="CC21" s="223">
        <v>4.2771045000000001E-2</v>
      </c>
      <c r="CD21" s="224">
        <v>4.3088587909999996</v>
      </c>
      <c r="CE21" s="224">
        <v>8.4090467239999995</v>
      </c>
      <c r="CF21" s="224">
        <v>7.4499384360000001</v>
      </c>
      <c r="CG21" s="225">
        <v>6.5750761449999997</v>
      </c>
      <c r="CH21" s="26">
        <v>1.0281416759999999</v>
      </c>
      <c r="CI21" s="8">
        <v>5.2473375000000004</v>
      </c>
      <c r="CJ21" s="8">
        <v>7.0988759879999996</v>
      </c>
      <c r="CK21" s="8">
        <v>7.0908802069999997</v>
      </c>
      <c r="CL21" s="68">
        <v>4.6755993919999996</v>
      </c>
    </row>
    <row r="22" spans="1:90" ht="15" customHeight="1" x14ac:dyDescent="0.3">
      <c r="A22" s="211" t="s">
        <v>547</v>
      </c>
      <c r="B22" s="245" t="s">
        <v>580</v>
      </c>
      <c r="C22" s="245" t="s">
        <v>666</v>
      </c>
      <c r="D22" s="245" t="s">
        <v>667</v>
      </c>
      <c r="E22" s="205" t="s">
        <v>186</v>
      </c>
      <c r="F22" s="153" t="s">
        <v>1048</v>
      </c>
      <c r="G22" s="154" t="s">
        <v>211</v>
      </c>
      <c r="H22" s="198"/>
      <c r="I22" s="153"/>
      <c r="J22" s="154" t="s">
        <v>188</v>
      </c>
      <c r="K22" s="423" t="s">
        <v>188</v>
      </c>
      <c r="L22" s="199"/>
      <c r="M22" s="199"/>
      <c r="N22" s="199"/>
      <c r="Q22" s="199"/>
      <c r="R22" s="199"/>
      <c r="S22" s="126"/>
      <c r="T22" s="147"/>
      <c r="U22" s="147"/>
      <c r="V22" s="147"/>
      <c r="W22" s="147"/>
      <c r="X22" s="147"/>
      <c r="Y22" s="147"/>
      <c r="Z22" s="147"/>
      <c r="AA22" s="147"/>
      <c r="AB22" s="147"/>
      <c r="AC22" s="147"/>
      <c r="AD22" s="147"/>
      <c r="AE22" s="147"/>
      <c r="AF22" s="147"/>
      <c r="AG22" s="147"/>
      <c r="AH22" s="147"/>
      <c r="AI22" s="147"/>
      <c r="AJ22" s="147"/>
      <c r="AK22" s="147"/>
      <c r="AL22" s="71">
        <v>81.668819140643194</v>
      </c>
      <c r="AM22" s="71">
        <v>10.437445286961708</v>
      </c>
      <c r="AN22" s="71">
        <v>7.8937355723950997</v>
      </c>
      <c r="AO22" s="72">
        <v>18.331180859356806</v>
      </c>
      <c r="AP22" s="206"/>
      <c r="AQ22" s="147"/>
      <c r="AR22" s="147"/>
      <c r="AS22" s="147"/>
      <c r="AT22" s="147"/>
      <c r="AU22" s="147"/>
      <c r="AV22" s="147"/>
      <c r="AW22" s="147"/>
      <c r="AX22" s="147"/>
      <c r="AY22" s="147"/>
      <c r="AZ22" s="147"/>
      <c r="BA22" s="147"/>
      <c r="BB22" s="147"/>
      <c r="BC22" s="147"/>
      <c r="BD22" s="147"/>
      <c r="BE22" s="147"/>
      <c r="BF22" s="147"/>
      <c r="BG22" s="147"/>
      <c r="BH22" s="24">
        <v>85.239664214861008</v>
      </c>
      <c r="BI22" s="24">
        <v>6.8666002127438839</v>
      </c>
      <c r="BJ22" s="24">
        <v>7.8937355723950997</v>
      </c>
      <c r="BK22" s="25">
        <v>14.760335785138984</v>
      </c>
      <c r="BL22" s="215" t="s">
        <v>552</v>
      </c>
      <c r="BN22" s="218">
        <v>0.15415693838775801</v>
      </c>
      <c r="BO22" s="218">
        <v>3.5653403687768401</v>
      </c>
      <c r="BP22" s="218">
        <v>6.8560148720845904</v>
      </c>
      <c r="BQ22" s="218">
        <v>5.4248806360991901</v>
      </c>
      <c r="BR22" s="218">
        <v>2.4566861952130798</v>
      </c>
      <c r="BS22" s="220" t="s">
        <v>220</v>
      </c>
      <c r="BT22" s="221" t="s">
        <v>220</v>
      </c>
      <c r="BU22" s="221" t="s">
        <v>220</v>
      </c>
      <c r="BV22" s="221" t="s">
        <v>220</v>
      </c>
      <c r="BW22" s="222" t="s">
        <v>220</v>
      </c>
      <c r="BX22" s="220">
        <v>0.15415693838775801</v>
      </c>
      <c r="BY22" s="221">
        <v>3.5653403687768401</v>
      </c>
      <c r="BZ22" s="221">
        <v>6.8560148720845904</v>
      </c>
      <c r="CA22" s="221">
        <v>5.4248806360991901</v>
      </c>
      <c r="CB22" s="222">
        <v>2.4566861952130798</v>
      </c>
      <c r="CC22" s="223">
        <v>0.215403445</v>
      </c>
      <c r="CD22" s="224">
        <v>2.5878319319999998</v>
      </c>
      <c r="CE22" s="224">
        <v>4.8241882130000002</v>
      </c>
      <c r="CF22" s="224">
        <v>3.7527341459999999</v>
      </c>
      <c r="CG22" s="225">
        <v>1.6587206800000001</v>
      </c>
      <c r="CH22" s="26" t="s">
        <v>220</v>
      </c>
      <c r="CI22" s="8" t="s">
        <v>220</v>
      </c>
      <c r="CJ22" s="8" t="s">
        <v>220</v>
      </c>
      <c r="CK22" s="8" t="s">
        <v>220</v>
      </c>
      <c r="CL22" s="68" t="s">
        <v>220</v>
      </c>
    </row>
    <row r="23" spans="1:90" ht="15" customHeight="1" x14ac:dyDescent="0.3">
      <c r="A23" s="211" t="s">
        <v>547</v>
      </c>
      <c r="B23" s="211" t="s">
        <v>580</v>
      </c>
      <c r="C23" s="245" t="s">
        <v>581</v>
      </c>
      <c r="D23" s="245" t="s">
        <v>582</v>
      </c>
      <c r="E23" s="253" t="s">
        <v>704</v>
      </c>
      <c r="F23" s="128" t="s">
        <v>1018</v>
      </c>
      <c r="G23" s="198" t="s">
        <v>211</v>
      </c>
      <c r="H23" s="198"/>
      <c r="I23" s="153"/>
      <c r="J23" s="154" t="s">
        <v>267</v>
      </c>
      <c r="K23" s="423" t="s">
        <v>267</v>
      </c>
      <c r="L23" s="199"/>
      <c r="M23" s="199"/>
      <c r="N23" s="199"/>
      <c r="O23" s="199"/>
      <c r="P23" s="424">
        <v>53225</v>
      </c>
      <c r="Q23" s="424">
        <v>816</v>
      </c>
      <c r="R23" s="429" t="s">
        <v>1000</v>
      </c>
      <c r="S23" s="126">
        <v>14</v>
      </c>
      <c r="T23" s="164">
        <v>-20.403331085275823</v>
      </c>
      <c r="U23" s="164">
        <v>-27.764819392580506</v>
      </c>
      <c r="V23" s="164">
        <v>-8.8423102480016809</v>
      </c>
      <c r="W23" s="164">
        <v>-24.20371239728037</v>
      </c>
      <c r="X23" s="164">
        <v>-35.109157359027947</v>
      </c>
      <c r="Y23" s="164">
        <v>-12.280800593218942</v>
      </c>
      <c r="Z23" s="164">
        <v>-15.917592616466521</v>
      </c>
      <c r="AA23" s="164">
        <v>-36.588329464337583</v>
      </c>
      <c r="AB23" s="164">
        <v>-3.371342230712969</v>
      </c>
      <c r="AC23" s="164">
        <v>0</v>
      </c>
      <c r="AD23" s="164">
        <v>0</v>
      </c>
      <c r="AE23" s="164">
        <v>0</v>
      </c>
      <c r="AF23" s="164">
        <v>-1</v>
      </c>
      <c r="AG23" s="164">
        <v>-6.0254066538896325</v>
      </c>
      <c r="AH23" s="164">
        <v>3.1841368126197835</v>
      </c>
      <c r="AI23" s="164">
        <v>-6.4285714285714306</v>
      </c>
      <c r="AJ23" s="164">
        <v>-17.131519274376416</v>
      </c>
      <c r="AK23" s="164">
        <v>3.5600907029478464</v>
      </c>
      <c r="AL23" s="71">
        <v>40.564319721166676</v>
      </c>
      <c r="AM23" s="71">
        <v>41.88927250280485</v>
      </c>
      <c r="AN23" s="71">
        <v>17.546407776028474</v>
      </c>
      <c r="AO23" s="72">
        <v>59.435680278833324</v>
      </c>
      <c r="AP23" s="26">
        <v>-16.623022009920462</v>
      </c>
      <c r="AQ23" s="8">
        <v>-22.145162565052715</v>
      </c>
      <c r="AR23" s="8">
        <v>-8.3072401852680997</v>
      </c>
      <c r="AS23" s="8">
        <v>-19.525579916528116</v>
      </c>
      <c r="AT23" s="8">
        <v>-29.160894717556346</v>
      </c>
      <c r="AU23" s="8">
        <v>-9.6363607015018431</v>
      </c>
      <c r="AV23" s="8">
        <v>-15.090650006232551</v>
      </c>
      <c r="AW23" s="8">
        <v>-32.839897995272409</v>
      </c>
      <c r="AX23" s="8">
        <v>-2.8087962373565176</v>
      </c>
      <c r="AY23" s="164">
        <v>0</v>
      </c>
      <c r="AZ23" s="164">
        <v>0</v>
      </c>
      <c r="BA23" s="164">
        <v>0</v>
      </c>
      <c r="BB23" s="164">
        <v>-1</v>
      </c>
      <c r="BC23" s="164">
        <v>-6.0254066538896325</v>
      </c>
      <c r="BD23" s="164">
        <v>3.1841368126197835</v>
      </c>
      <c r="BE23" s="164">
        <v>-6.4285714285714306</v>
      </c>
      <c r="BF23" s="164">
        <v>-17.131519274376416</v>
      </c>
      <c r="BG23" s="164">
        <v>3.5600907029478464</v>
      </c>
      <c r="BH23" s="24">
        <v>57.103171925846397</v>
      </c>
      <c r="BI23" s="24">
        <v>25.350420298125126</v>
      </c>
      <c r="BJ23" s="24">
        <v>17.546407776028474</v>
      </c>
      <c r="BK23" s="25">
        <v>42.896828074153603</v>
      </c>
      <c r="BL23" s="215" t="s">
        <v>556</v>
      </c>
      <c r="BN23" s="218">
        <v>0.18872108244122901</v>
      </c>
      <c r="BO23" s="218">
        <v>16.507639903775701</v>
      </c>
      <c r="BP23" s="218">
        <v>25.302578710535101</v>
      </c>
      <c r="BQ23" s="218">
        <v>15.323431333173501</v>
      </c>
      <c r="BR23" s="218">
        <v>2.1898626721704999</v>
      </c>
      <c r="BS23" s="220">
        <v>0.18872108244122901</v>
      </c>
      <c r="BT23" s="221">
        <v>16.507639903775701</v>
      </c>
      <c r="BU23" s="221">
        <v>25.302578710535101</v>
      </c>
      <c r="BV23" s="221">
        <v>15.323431333173501</v>
      </c>
      <c r="BW23" s="222">
        <v>2.1898626721704999</v>
      </c>
      <c r="BX23" s="220">
        <f>0.00234626783868857*100</f>
        <v>0.23462678386885699</v>
      </c>
      <c r="BY23" s="221">
        <f>0.123101054392416*100</f>
        <v>12.3101054392416</v>
      </c>
      <c r="BZ23" s="221">
        <f>0.218618735113797*100</f>
        <v>21.861873511379702</v>
      </c>
      <c r="CA23" s="221">
        <f>0.145465676099667*100</f>
        <v>14.546567609966701</v>
      </c>
      <c r="CB23" s="222">
        <f>0.0209499720815392*100</f>
        <v>2.0949972081539201</v>
      </c>
      <c r="CC23" s="223">
        <v>0.44885325399999998</v>
      </c>
      <c r="CD23" s="224">
        <v>10.84974828</v>
      </c>
      <c r="CE23" s="224">
        <v>19.578594070000001</v>
      </c>
      <c r="CF23" s="224">
        <v>13.18098079</v>
      </c>
      <c r="CG23" s="225">
        <v>1.877158307</v>
      </c>
      <c r="CH23" s="26">
        <v>0.28705913900000002</v>
      </c>
      <c r="CI23" s="8">
        <v>14.68052758</v>
      </c>
      <c r="CJ23" s="8">
        <v>23.53829021</v>
      </c>
      <c r="CK23" s="8">
        <v>14.55633315</v>
      </c>
      <c r="CL23" s="68">
        <v>2.031561634</v>
      </c>
    </row>
    <row r="24" spans="1:90" ht="15" customHeight="1" x14ac:dyDescent="0.3">
      <c r="A24" s="211" t="s">
        <v>547</v>
      </c>
      <c r="B24" s="245" t="s">
        <v>614</v>
      </c>
      <c r="C24" s="211" t="s">
        <v>670</v>
      </c>
      <c r="D24" s="211" t="s">
        <v>671</v>
      </c>
      <c r="E24" s="205" t="s">
        <v>186</v>
      </c>
      <c r="F24" s="153" t="s">
        <v>1048</v>
      </c>
      <c r="G24" s="154" t="s">
        <v>211</v>
      </c>
      <c r="H24" s="198"/>
      <c r="I24" s="153"/>
      <c r="J24" s="154" t="s">
        <v>188</v>
      </c>
      <c r="K24" s="423" t="s">
        <v>188</v>
      </c>
      <c r="L24" s="199"/>
      <c r="M24" s="199"/>
      <c r="N24" s="199"/>
      <c r="Q24" s="199"/>
      <c r="R24" s="199"/>
      <c r="S24" s="126"/>
      <c r="T24" s="146"/>
      <c r="U24" s="146"/>
      <c r="V24" s="146"/>
      <c r="W24" s="146"/>
      <c r="X24" s="146"/>
      <c r="Y24" s="146"/>
      <c r="Z24" s="146"/>
      <c r="AA24" s="146"/>
      <c r="AB24" s="146"/>
      <c r="AC24" s="146"/>
      <c r="AD24" s="146"/>
      <c r="AE24" s="146"/>
      <c r="AF24" s="146"/>
      <c r="AG24" s="146"/>
      <c r="AH24" s="146"/>
      <c r="AI24" s="146"/>
      <c r="AJ24" s="146"/>
      <c r="AK24" s="146"/>
      <c r="AL24" s="71">
        <v>77.792414576265273</v>
      </c>
      <c r="AM24" s="71">
        <v>13.226578297029704</v>
      </c>
      <c r="AN24" s="71">
        <v>8.981007126705018</v>
      </c>
      <c r="AO24" s="72">
        <v>22.20758542373472</v>
      </c>
      <c r="AP24" s="146"/>
      <c r="AQ24" s="146"/>
      <c r="AR24" s="146"/>
      <c r="AS24" s="146"/>
      <c r="AT24" s="146"/>
      <c r="AU24" s="146"/>
      <c r="AV24" s="146"/>
      <c r="AW24" s="146"/>
      <c r="AX24" s="146"/>
      <c r="AY24" s="146"/>
      <c r="AZ24" s="146"/>
      <c r="BA24" s="146"/>
      <c r="BB24" s="146"/>
      <c r="BC24" s="146"/>
      <c r="BD24" s="146"/>
      <c r="BE24" s="146"/>
      <c r="BF24" s="146"/>
      <c r="BG24" s="146"/>
      <c r="BH24" s="24">
        <v>82.401794498722452</v>
      </c>
      <c r="BI24" s="24">
        <v>8.6171983745725171</v>
      </c>
      <c r="BJ24" s="24">
        <v>8.981007126705018</v>
      </c>
      <c r="BK24" s="25">
        <v>17.598205501277533</v>
      </c>
      <c r="BL24" s="215" t="s">
        <v>552</v>
      </c>
      <c r="BN24" s="218">
        <v>0.22705168455064101</v>
      </c>
      <c r="BO24" s="218">
        <v>4.5989142476959097</v>
      </c>
      <c r="BP24" s="218">
        <v>8.5976328805019797</v>
      </c>
      <c r="BQ24" s="218">
        <v>6.4128041131299902</v>
      </c>
      <c r="BR24" s="218">
        <v>2.54781148560423</v>
      </c>
      <c r="BS24" s="220" t="s">
        <v>220</v>
      </c>
      <c r="BT24" s="221" t="s">
        <v>220</v>
      </c>
      <c r="BU24" s="221" t="s">
        <v>220</v>
      </c>
      <c r="BV24" s="221" t="s">
        <v>220</v>
      </c>
      <c r="BW24" s="222" t="s">
        <v>220</v>
      </c>
      <c r="BX24" s="220">
        <v>0.22705168455064101</v>
      </c>
      <c r="BY24" s="221">
        <v>4.5989142476959097</v>
      </c>
      <c r="BZ24" s="221">
        <v>8.5976328805019797</v>
      </c>
      <c r="CA24" s="221">
        <v>6.4128041131299902</v>
      </c>
      <c r="CB24" s="222">
        <v>2.54781148560423</v>
      </c>
      <c r="CC24" s="223">
        <v>0.473314819</v>
      </c>
      <c r="CD24" s="224">
        <v>3.782609796</v>
      </c>
      <c r="CE24" s="224">
        <v>6.9064313400000001</v>
      </c>
      <c r="CF24" s="224">
        <v>5.0743944350000003</v>
      </c>
      <c r="CG24" s="225">
        <v>1.92786065</v>
      </c>
      <c r="CH24" s="26" t="s">
        <v>220</v>
      </c>
      <c r="CI24" s="8" t="s">
        <v>220</v>
      </c>
      <c r="CJ24" s="8" t="s">
        <v>220</v>
      </c>
      <c r="CK24" s="8" t="s">
        <v>220</v>
      </c>
      <c r="CL24" s="68" t="s">
        <v>220</v>
      </c>
    </row>
    <row r="25" spans="1:90" ht="15" customHeight="1" x14ac:dyDescent="0.3">
      <c r="A25" s="211" t="s">
        <v>547</v>
      </c>
      <c r="B25" s="247" t="s">
        <v>583</v>
      </c>
      <c r="C25" s="245" t="s">
        <v>584</v>
      </c>
      <c r="D25" s="245" t="s">
        <v>585</v>
      </c>
      <c r="E25" s="205" t="s">
        <v>704</v>
      </c>
      <c r="F25" s="128" t="s">
        <v>1019</v>
      </c>
      <c r="G25" s="198" t="s">
        <v>211</v>
      </c>
      <c r="H25" s="198" t="s">
        <v>586</v>
      </c>
      <c r="I25" s="153"/>
      <c r="J25" s="154" t="s">
        <v>267</v>
      </c>
      <c r="K25" s="423" t="s">
        <v>267</v>
      </c>
      <c r="L25" s="199"/>
      <c r="M25" s="199"/>
      <c r="N25" s="199"/>
      <c r="O25" s="199"/>
      <c r="P25" s="424">
        <v>1096393</v>
      </c>
      <c r="Q25" s="424">
        <v>12404</v>
      </c>
      <c r="R25" s="429">
        <v>50000</v>
      </c>
      <c r="S25" s="126">
        <v>15</v>
      </c>
      <c r="T25" s="164">
        <v>-2.9066307264164379</v>
      </c>
      <c r="U25" s="164">
        <v>-6.5149170799137437</v>
      </c>
      <c r="V25" s="164">
        <v>-1.8059009439497231E-2</v>
      </c>
      <c r="W25" s="164">
        <v>-8.3897511353648042</v>
      </c>
      <c r="X25" s="164">
        <v>-16.450093499731267</v>
      </c>
      <c r="Y25" s="164">
        <v>-0.85659223594407763</v>
      </c>
      <c r="Z25" s="164">
        <v>-13.717855930536956</v>
      </c>
      <c r="AA25" s="164">
        <v>-25.432340330391824</v>
      </c>
      <c r="AB25" s="164">
        <v>-2.1222307232229127</v>
      </c>
      <c r="AC25" s="164">
        <v>0</v>
      </c>
      <c r="AD25" s="164">
        <v>0</v>
      </c>
      <c r="AE25" s="164">
        <v>0</v>
      </c>
      <c r="AF25" s="164">
        <v>-1.8571428571428612</v>
      </c>
      <c r="AG25" s="164">
        <v>-6.7919799498746869</v>
      </c>
      <c r="AH25" s="164">
        <v>3.2205513784461175</v>
      </c>
      <c r="AI25" s="164">
        <v>-10.428571428571431</v>
      </c>
      <c r="AJ25" s="164">
        <v>-19.30504833512353</v>
      </c>
      <c r="AK25" s="164">
        <v>-0.67454350161116849</v>
      </c>
      <c r="AL25" s="71">
        <v>72.565975318175802</v>
      </c>
      <c r="AM25" s="71">
        <v>15.985280957893247</v>
      </c>
      <c r="AN25" s="71">
        <v>11.448743723930951</v>
      </c>
      <c r="AO25" s="72">
        <v>27.434024681824198</v>
      </c>
      <c r="AP25" s="8">
        <v>-2.7275511279359108</v>
      </c>
      <c r="AQ25" s="8">
        <v>-5.740101229848932</v>
      </c>
      <c r="AR25" s="8">
        <v>-0.27444846632737097</v>
      </c>
      <c r="AS25" s="8">
        <v>-7.5594729969551651</v>
      </c>
      <c r="AT25" s="8">
        <v>-15.157998903039186</v>
      </c>
      <c r="AU25" s="8">
        <v>-0.47999057406775592</v>
      </c>
      <c r="AV25" s="8">
        <v>-13.530636350307333</v>
      </c>
      <c r="AW25" s="8">
        <v>-24.815707811541017</v>
      </c>
      <c r="AX25" s="8">
        <v>-2.0725475931819517</v>
      </c>
      <c r="AY25" s="164">
        <v>0</v>
      </c>
      <c r="AZ25" s="164">
        <v>0</v>
      </c>
      <c r="BA25" s="164">
        <v>0</v>
      </c>
      <c r="BB25" s="164">
        <v>-1.8571428571428612</v>
      </c>
      <c r="BC25" s="164">
        <v>-6.7919799498746869</v>
      </c>
      <c r="BD25" s="164">
        <v>3.2205513784461175</v>
      </c>
      <c r="BE25" s="164">
        <v>-10.428571428571431</v>
      </c>
      <c r="BF25" s="164">
        <v>-19.30504833512353</v>
      </c>
      <c r="BG25" s="164">
        <v>-0.67454350161116849</v>
      </c>
      <c r="BH25" s="24">
        <v>78.263962542555703</v>
      </c>
      <c r="BI25" s="24">
        <v>10.287293733513357</v>
      </c>
      <c r="BJ25" s="24">
        <v>11.448743723930951</v>
      </c>
      <c r="BK25" s="25">
        <v>21.736037457444308</v>
      </c>
      <c r="BL25" s="215" t="s">
        <v>556</v>
      </c>
      <c r="BN25" s="218">
        <v>0.34940738453456099</v>
      </c>
      <c r="BO25" s="218">
        <v>5.6780780362480696</v>
      </c>
      <c r="BP25" s="218">
        <v>10.251349169539701</v>
      </c>
      <c r="BQ25" s="218">
        <v>8.0182343929323494</v>
      </c>
      <c r="BR25" s="218">
        <v>3.3905065749907499</v>
      </c>
      <c r="BS25" s="220">
        <v>0.34940738453456099</v>
      </c>
      <c r="BT25" s="221">
        <v>5.6780780362480696</v>
      </c>
      <c r="BU25" s="221">
        <v>10.251349169539701</v>
      </c>
      <c r="BV25" s="221">
        <v>8.0182343929323494</v>
      </c>
      <c r="BW25" s="222">
        <v>3.3905065749907499</v>
      </c>
      <c r="BX25" s="220">
        <v>0.41244626801025502</v>
      </c>
      <c r="BY25" s="221">
        <v>5.66023514569713</v>
      </c>
      <c r="BZ25" s="221">
        <v>10.3559257050036</v>
      </c>
      <c r="CA25" s="221">
        <v>8.0956450152369008</v>
      </c>
      <c r="CB25" s="222">
        <v>3.1759344646701799</v>
      </c>
      <c r="CC25" s="223">
        <v>0.83419183500000005</v>
      </c>
      <c r="CD25" s="224">
        <v>3.3670859659999999</v>
      </c>
      <c r="CE25" s="224">
        <v>5.8888451479999997</v>
      </c>
      <c r="CF25" s="224">
        <v>4.4818609919999997</v>
      </c>
      <c r="CG25" s="225">
        <v>1.6608960740000001</v>
      </c>
      <c r="CH25" s="26">
        <v>0.80009702800000004</v>
      </c>
      <c r="CI25" s="8">
        <v>3.775840638</v>
      </c>
      <c r="CJ25" s="8">
        <v>6.5724281040000001</v>
      </c>
      <c r="CK25" s="8">
        <v>5.0306175560000002</v>
      </c>
      <c r="CL25" s="68">
        <v>2.0184975600000001</v>
      </c>
    </row>
    <row r="26" spans="1:90" ht="15" customHeight="1" x14ac:dyDescent="0.3">
      <c r="A26" s="211" t="s">
        <v>547</v>
      </c>
      <c r="B26" s="248" t="s">
        <v>587</v>
      </c>
      <c r="C26" s="245" t="s">
        <v>588</v>
      </c>
      <c r="D26" s="245" t="s">
        <v>589</v>
      </c>
      <c r="E26" s="253" t="s">
        <v>704</v>
      </c>
      <c r="F26" s="128" t="s">
        <v>1020</v>
      </c>
      <c r="G26" s="198" t="s">
        <v>211</v>
      </c>
      <c r="H26" s="198"/>
      <c r="I26" s="153"/>
      <c r="J26" s="154" t="s">
        <v>188</v>
      </c>
      <c r="K26" s="423" t="s">
        <v>188</v>
      </c>
      <c r="L26" s="199"/>
      <c r="M26" s="199"/>
      <c r="N26" s="199"/>
      <c r="O26" s="199"/>
      <c r="P26" s="199"/>
      <c r="Q26" s="424" t="s">
        <v>999</v>
      </c>
      <c r="R26" s="429" t="s">
        <v>999</v>
      </c>
      <c r="S26" s="126">
        <v>16</v>
      </c>
      <c r="T26" s="164">
        <v>-17.137294399244354</v>
      </c>
      <c r="U26" s="164">
        <v>-23.957238760475065</v>
      </c>
      <c r="V26" s="164">
        <v>-10.595096831935848</v>
      </c>
      <c r="W26" s="164">
        <v>-22.414230923019048</v>
      </c>
      <c r="X26" s="164">
        <v>-32.708950245115204</v>
      </c>
      <c r="Y26" s="164">
        <v>-11.043823584946495</v>
      </c>
      <c r="Z26" s="164">
        <v>-18.886199480053577</v>
      </c>
      <c r="AA26" s="164">
        <v>-37.752500424800637</v>
      </c>
      <c r="AB26" s="164">
        <v>-0.13778047679917904</v>
      </c>
      <c r="AC26" s="164">
        <v>0</v>
      </c>
      <c r="AD26" s="164">
        <v>0</v>
      </c>
      <c r="AE26" s="164">
        <v>0</v>
      </c>
      <c r="AF26" s="164">
        <v>-1</v>
      </c>
      <c r="AG26" s="164">
        <v>-7.4252297410192085</v>
      </c>
      <c r="AH26" s="164">
        <v>3.9490392648287411</v>
      </c>
      <c r="AI26" s="164">
        <v>-6.4285714285714306</v>
      </c>
      <c r="AJ26" s="164">
        <v>-21.126029359112067</v>
      </c>
      <c r="AK26" s="164">
        <v>6.9990452321279406</v>
      </c>
      <c r="AL26" s="71">
        <v>56.733735224823896</v>
      </c>
      <c r="AM26" s="71">
        <v>24.865950668840039</v>
      </c>
      <c r="AN26" s="71">
        <v>18.400314106336062</v>
      </c>
      <c r="AO26" s="72">
        <v>43.266264775176097</v>
      </c>
      <c r="AP26" s="77">
        <v>-15.357761853690448</v>
      </c>
      <c r="AQ26" s="8">
        <v>-20.686731384739446</v>
      </c>
      <c r="AR26" s="8">
        <v>-10.133085829364816</v>
      </c>
      <c r="AS26" s="8">
        <v>-19.247890255757596</v>
      </c>
      <c r="AT26" s="8">
        <v>-28.554667325530502</v>
      </c>
      <c r="AU26" s="8">
        <v>-9.4597715078829481</v>
      </c>
      <c r="AV26" s="8">
        <v>-17.352119699403659</v>
      </c>
      <c r="AW26" s="8">
        <v>-35.591689233011891</v>
      </c>
      <c r="AX26" s="8">
        <v>0.29229862762083769</v>
      </c>
      <c r="AY26" s="164">
        <v>0</v>
      </c>
      <c r="AZ26" s="164">
        <v>0</v>
      </c>
      <c r="BA26" s="164">
        <v>0</v>
      </c>
      <c r="BB26" s="164">
        <v>-1</v>
      </c>
      <c r="BC26" s="164">
        <v>-7.4252297410192085</v>
      </c>
      <c r="BD26" s="164">
        <v>3.9490392648287411</v>
      </c>
      <c r="BE26" s="164">
        <v>-6.4285714285714306</v>
      </c>
      <c r="BF26" s="164">
        <v>-21.126029359112067</v>
      </c>
      <c r="BG26" s="164">
        <v>6.9990452321279406</v>
      </c>
      <c r="BH26" s="24">
        <v>65.324581996463507</v>
      </c>
      <c r="BI26" s="24">
        <v>16.275103897200431</v>
      </c>
      <c r="BJ26" s="24">
        <v>18.400314106336062</v>
      </c>
      <c r="BK26" s="25">
        <v>34.675418003536493</v>
      </c>
      <c r="BL26" s="215" t="s">
        <v>552</v>
      </c>
      <c r="BN26" s="218">
        <v>0.34482065456298699</v>
      </c>
      <c r="BO26" s="218">
        <v>8.5612237575691399</v>
      </c>
      <c r="BP26" s="218">
        <v>16.218983977411298</v>
      </c>
      <c r="BQ26" s="218">
        <v>12.9119484830936</v>
      </c>
      <c r="BR26" s="218">
        <v>5.4249175396993499</v>
      </c>
      <c r="BS26" s="220" t="s">
        <v>220</v>
      </c>
      <c r="BT26" s="221" t="s">
        <v>220</v>
      </c>
      <c r="BU26" s="221" t="s">
        <v>220</v>
      </c>
      <c r="BV26" s="221" t="s">
        <v>220</v>
      </c>
      <c r="BW26" s="222" t="s">
        <v>220</v>
      </c>
      <c r="BX26" s="220">
        <v>0.34482065456298699</v>
      </c>
      <c r="BY26" s="221">
        <v>8.5612237575691399</v>
      </c>
      <c r="BZ26" s="221">
        <v>16.218983977411298</v>
      </c>
      <c r="CA26" s="221">
        <v>12.9119484830936</v>
      </c>
      <c r="CB26" s="222">
        <v>5.4249175396993499</v>
      </c>
      <c r="CC26" s="223">
        <v>0.75540455399999995</v>
      </c>
      <c r="CD26" s="224">
        <v>6.580701533</v>
      </c>
      <c r="CE26" s="224">
        <v>12.334415760000001</v>
      </c>
      <c r="CF26" s="224">
        <v>9.6917356199999993</v>
      </c>
      <c r="CG26" s="225">
        <v>3.8953783479999999</v>
      </c>
      <c r="CH26" s="26" t="s">
        <v>220</v>
      </c>
      <c r="CI26" s="8" t="s">
        <v>220</v>
      </c>
      <c r="CJ26" s="8" t="s">
        <v>220</v>
      </c>
      <c r="CK26" s="8" t="s">
        <v>220</v>
      </c>
      <c r="CL26" s="68" t="s">
        <v>220</v>
      </c>
    </row>
    <row r="27" spans="1:90" ht="15" customHeight="1" x14ac:dyDescent="0.3">
      <c r="A27" s="211" t="s">
        <v>547</v>
      </c>
      <c r="B27" s="211" t="s">
        <v>590</v>
      </c>
      <c r="C27" s="211" t="s">
        <v>591</v>
      </c>
      <c r="D27" s="211" t="s">
        <v>592</v>
      </c>
      <c r="E27" s="205" t="s">
        <v>749</v>
      </c>
      <c r="G27" s="198" t="s">
        <v>211</v>
      </c>
      <c r="H27" s="198" t="s">
        <v>593</v>
      </c>
      <c r="I27" s="128" t="s">
        <v>187</v>
      </c>
      <c r="J27" s="154" t="s">
        <v>187</v>
      </c>
      <c r="K27" s="423" t="s">
        <v>187</v>
      </c>
      <c r="L27" s="199"/>
      <c r="M27" s="199"/>
      <c r="N27" s="199"/>
      <c r="O27" s="199"/>
      <c r="P27" s="199"/>
      <c r="Q27" s="407">
        <v>16164</v>
      </c>
      <c r="R27" s="430" t="s">
        <v>999</v>
      </c>
      <c r="S27" s="126">
        <v>17</v>
      </c>
      <c r="T27" s="164">
        <v>-17.667655764595054</v>
      </c>
      <c r="U27" s="164">
        <v>-22.979777172117892</v>
      </c>
      <c r="V27" s="164">
        <v>-11.517769148929503</v>
      </c>
      <c r="W27" s="164">
        <v>-21.684445502701493</v>
      </c>
      <c r="X27" s="164">
        <v>-28.735158743553612</v>
      </c>
      <c r="Y27" s="164">
        <v>-15.410231529882608</v>
      </c>
      <c r="Z27" s="164">
        <v>-31.482613939661206</v>
      </c>
      <c r="AA27" s="164">
        <v>-46.00917206093736</v>
      </c>
      <c r="AB27" s="164">
        <v>-17.152914751635521</v>
      </c>
      <c r="AC27" s="164">
        <v>0</v>
      </c>
      <c r="AD27" s="164">
        <v>0</v>
      </c>
      <c r="AE27" s="164">
        <v>0</v>
      </c>
      <c r="AF27" s="164">
        <v>-1.5714285714285694</v>
      </c>
      <c r="AG27" s="164">
        <v>-5.9454518649565102</v>
      </c>
      <c r="AH27" s="164">
        <v>0.57034743722050507</v>
      </c>
      <c r="AI27" s="164">
        <v>-18.142857142857139</v>
      </c>
      <c r="AJ27" s="164">
        <v>-32.989139515455307</v>
      </c>
      <c r="AK27" s="164">
        <v>-6.8103592314118657</v>
      </c>
      <c r="AL27" s="71">
        <v>64.428373473356118</v>
      </c>
      <c r="AM27" s="71">
        <v>21.001117046501175</v>
      </c>
      <c r="AN27" s="71">
        <v>14.570509480142707</v>
      </c>
      <c r="AO27" s="72">
        <v>35.571626526643882</v>
      </c>
      <c r="AP27" s="77">
        <v>-15.851127820964905</v>
      </c>
      <c r="AQ27" s="8">
        <v>-19.724787395058755</v>
      </c>
      <c r="AR27" s="8">
        <v>-11.01123312539292</v>
      </c>
      <c r="AS27" s="8">
        <v>-19.241528612991971</v>
      </c>
      <c r="AT27" s="8">
        <v>-25.355797715902696</v>
      </c>
      <c r="AU27" s="8">
        <v>-13.90449139676484</v>
      </c>
      <c r="AV27" s="8">
        <v>-30.302914757878398</v>
      </c>
      <c r="AW27" s="8">
        <v>-44.542164265095145</v>
      </c>
      <c r="AX27" s="8">
        <v>-16.467427901091739</v>
      </c>
      <c r="AY27" s="164">
        <v>0</v>
      </c>
      <c r="AZ27" s="164">
        <v>0</v>
      </c>
      <c r="BA27" s="164">
        <v>0</v>
      </c>
      <c r="BB27" s="164">
        <v>-1.5714285714285694</v>
      </c>
      <c r="BC27" s="164">
        <v>-5.9454518649565102</v>
      </c>
      <c r="BD27" s="164">
        <v>0.57034743722050507</v>
      </c>
      <c r="BE27" s="164">
        <v>-18.142857142857139</v>
      </c>
      <c r="BF27" s="164">
        <v>-32.989139515455307</v>
      </c>
      <c r="BG27" s="164">
        <v>-6.8103592314118657</v>
      </c>
      <c r="BH27" s="24">
        <v>71.736244510948708</v>
      </c>
      <c r="BI27" s="24">
        <v>13.693246008908583</v>
      </c>
      <c r="BJ27" s="24">
        <v>14.570509480142707</v>
      </c>
      <c r="BK27" s="25">
        <v>28.263755489051292</v>
      </c>
      <c r="BL27" s="215" t="s">
        <v>556</v>
      </c>
      <c r="BN27" s="218">
        <v>0.37416144181481897</v>
      </c>
      <c r="BO27" s="218">
        <v>7.2805278019523696</v>
      </c>
      <c r="BP27" s="218">
        <v>13.6420111622104</v>
      </c>
      <c r="BQ27" s="218">
        <v>10.454288306116901</v>
      </c>
      <c r="BR27" s="218">
        <v>4.0617039456751396</v>
      </c>
      <c r="BS27" s="220">
        <v>0.37416144181481897</v>
      </c>
      <c r="BT27" s="221">
        <v>7.2805278019523696</v>
      </c>
      <c r="BU27" s="221">
        <v>13.6420111622104</v>
      </c>
      <c r="BV27" s="221">
        <v>10.454288306116901</v>
      </c>
      <c r="BW27" s="222">
        <v>4.0617039456751396</v>
      </c>
      <c r="BX27" s="220">
        <v>0.11495720106169501</v>
      </c>
      <c r="BY27" s="221">
        <v>4.5600511524821101</v>
      </c>
      <c r="BZ27" s="221">
        <v>7.2041815900764901</v>
      </c>
      <c r="CA27" s="221">
        <v>5.8699011962621501</v>
      </c>
      <c r="CB27" s="222">
        <v>2.38349794110436</v>
      </c>
      <c r="CC27" s="223">
        <v>0.165804016</v>
      </c>
      <c r="CD27" s="224">
        <v>4.3635200709999999</v>
      </c>
      <c r="CE27" s="224">
        <v>6.7962894929999997</v>
      </c>
      <c r="CF27" s="224">
        <v>5.5057974300000003</v>
      </c>
      <c r="CG27" s="225">
        <v>2.2162914339999999</v>
      </c>
      <c r="CH27" s="26">
        <v>0.90663399200000006</v>
      </c>
      <c r="CI27" s="8">
        <v>5.7245454379999998</v>
      </c>
      <c r="CJ27" s="8">
        <v>10.52249439</v>
      </c>
      <c r="CK27" s="8">
        <v>7.9364505740000002</v>
      </c>
      <c r="CL27" s="68">
        <v>2.948246036</v>
      </c>
    </row>
    <row r="28" spans="1:90" ht="15" customHeight="1" x14ac:dyDescent="0.3">
      <c r="A28" s="211" t="s">
        <v>547</v>
      </c>
      <c r="B28" s="211" t="s">
        <v>590</v>
      </c>
      <c r="C28" s="211" t="s">
        <v>594</v>
      </c>
      <c r="D28" s="211" t="s">
        <v>595</v>
      </c>
      <c r="E28" s="205" t="s">
        <v>200</v>
      </c>
      <c r="F28" s="128" t="s">
        <v>1023</v>
      </c>
      <c r="G28" s="198" t="s">
        <v>215</v>
      </c>
      <c r="H28" s="198"/>
      <c r="I28" s="128" t="s">
        <v>740</v>
      </c>
      <c r="J28" s="128" t="s">
        <v>740</v>
      </c>
      <c r="K28" s="422" t="s">
        <v>187</v>
      </c>
      <c r="L28" s="407" t="s">
        <v>187</v>
      </c>
      <c r="M28" s="135"/>
      <c r="N28" s="135"/>
      <c r="O28" s="199"/>
      <c r="P28" s="424">
        <v>43655</v>
      </c>
      <c r="Q28" s="424">
        <v>716</v>
      </c>
      <c r="R28" s="424" t="s">
        <v>1022</v>
      </c>
      <c r="S28" s="126">
        <v>17.100000000000001</v>
      </c>
      <c r="T28" s="164">
        <v>-2.831206178443324E-2</v>
      </c>
      <c r="U28" s="164">
        <v>-4.7823728393609599E-2</v>
      </c>
      <c r="V28" s="164">
        <v>-1.0103310833599721E-2</v>
      </c>
      <c r="W28" s="164">
        <v>-1.6082814170381283</v>
      </c>
      <c r="X28" s="164">
        <v>-5.9947450117172991</v>
      </c>
      <c r="Y28" s="164">
        <v>0.54643170829808696</v>
      </c>
      <c r="Z28" s="164">
        <v>-18.161868939532425</v>
      </c>
      <c r="AA28" s="164">
        <v>-33.011585791678186</v>
      </c>
      <c r="AB28" s="164">
        <v>-6.8222746582159033</v>
      </c>
      <c r="AC28" s="164">
        <v>0</v>
      </c>
      <c r="AD28" s="164">
        <v>0</v>
      </c>
      <c r="AE28" s="164">
        <v>0</v>
      </c>
      <c r="AF28" s="164">
        <v>-1.5714285714285694</v>
      </c>
      <c r="AG28" s="164">
        <v>-5.9454518649565102</v>
      </c>
      <c r="AH28" s="164">
        <v>0.57034743722050507</v>
      </c>
      <c r="AI28" s="164">
        <v>-18.142857142857139</v>
      </c>
      <c r="AJ28" s="164">
        <v>-32.989139515455307</v>
      </c>
      <c r="AK28" s="164">
        <v>-6.8103592314118657</v>
      </c>
      <c r="AL28" s="71">
        <v>99.897997786081504</v>
      </c>
      <c r="AM28" s="71">
        <v>9.71200015899919E-2</v>
      </c>
      <c r="AN28" s="71">
        <v>4.8822123285165893E-3</v>
      </c>
      <c r="AO28" s="72">
        <v>0.10200221391850849</v>
      </c>
      <c r="AP28" s="77">
        <v>-2.0667246542245721E-2</v>
      </c>
      <c r="AQ28" s="8">
        <v>-3.4125180266073585E-2</v>
      </c>
      <c r="AR28" s="8">
        <v>-7.9715658598757955E-3</v>
      </c>
      <c r="AS28" s="8">
        <v>-1.5980004586089649</v>
      </c>
      <c r="AT28" s="8">
        <v>-5.9805230500988955</v>
      </c>
      <c r="AU28" s="8">
        <v>0.55276858032958387</v>
      </c>
      <c r="AV28" s="8">
        <v>-18.156904203196959</v>
      </c>
      <c r="AW28" s="8">
        <v>-33.005411923779576</v>
      </c>
      <c r="AX28" s="8">
        <v>-6.8193898028842028</v>
      </c>
      <c r="AY28" s="164">
        <v>0</v>
      </c>
      <c r="AZ28" s="164">
        <v>0</v>
      </c>
      <c r="BA28" s="164">
        <v>0</v>
      </c>
      <c r="BB28" s="164">
        <v>-1.5714285714285694</v>
      </c>
      <c r="BC28" s="164">
        <v>-5.9454518649565102</v>
      </c>
      <c r="BD28" s="164">
        <v>0.57034743722050507</v>
      </c>
      <c r="BE28" s="164">
        <v>-18.142857142857139</v>
      </c>
      <c r="BF28" s="164">
        <v>-32.989139515455307</v>
      </c>
      <c r="BG28" s="164">
        <v>-6.8103592314118657</v>
      </c>
      <c r="BH28" s="24">
        <v>99.928752789929405</v>
      </c>
      <c r="BI28" s="24">
        <v>6.6364997742088677E-2</v>
      </c>
      <c r="BJ28" s="24">
        <v>4.8822123285165893E-3</v>
      </c>
      <c r="BK28" s="25">
        <v>7.1247210070605263E-2</v>
      </c>
      <c r="BL28" s="215" t="s">
        <v>556</v>
      </c>
      <c r="BN28" s="219">
        <v>5.1198704214410603E-3</v>
      </c>
      <c r="BO28" s="219">
        <v>3.0753429231558101E-2</v>
      </c>
      <c r="BP28" s="219">
        <v>6.6361599940199092E-2</v>
      </c>
      <c r="BQ28" s="219">
        <v>4.8819623655716694E-3</v>
      </c>
      <c r="BR28" s="219">
        <v>0</v>
      </c>
      <c r="BS28" s="226">
        <f>0.0000511987042144106*100</f>
        <v>5.1198704214410603E-3</v>
      </c>
      <c r="BT28" s="227">
        <f>0.000307534292315581*100</f>
        <v>3.0753429231558101E-2</v>
      </c>
      <c r="BU28" s="227">
        <f>0.000663615999401991*100</f>
        <v>6.6361599940199092E-2</v>
      </c>
      <c r="BV28" s="227">
        <f>0.0000488196236557167*100</f>
        <v>4.8819623655716694E-3</v>
      </c>
      <c r="BW28" s="228">
        <v>0</v>
      </c>
      <c r="BX28" s="220">
        <v>0</v>
      </c>
      <c r="BY28" s="221">
        <f>0.00040061864133115*100</f>
        <v>4.0061864133115001E-2</v>
      </c>
      <c r="BZ28" s="221">
        <f>0.00120288258776656*100</f>
        <v>0.120288258776656</v>
      </c>
      <c r="CA28" s="221">
        <f>0.0000962358894725381*100</f>
        <v>9.623588947253809E-3</v>
      </c>
      <c r="CB28" s="222">
        <f>2.31406455343728E-06*100</f>
        <v>2.31406455343728E-4</v>
      </c>
      <c r="CC28" s="220">
        <f>0.0000112685060553253*100</f>
        <v>1.1268506055325301E-3</v>
      </c>
      <c r="CD28" s="218">
        <f>0.000440739835939937*100</f>
        <v>4.4073983593993699E-2</v>
      </c>
      <c r="CE28" s="218">
        <f>0.00119037540159387*100</f>
        <v>0.119037540159387</v>
      </c>
      <c r="CF28" s="218">
        <f>0.0000937255360184411*100</f>
        <v>9.3725536018441098E-3</v>
      </c>
      <c r="CG28" s="222">
        <f>2.25370121106507E-06*100</f>
        <v>2.2537012110650698E-4</v>
      </c>
      <c r="CH28" s="220">
        <f>0.0000763568161398527*100</f>
        <v>7.6356816139852707E-3</v>
      </c>
      <c r="CI28" s="218">
        <f>0.0003626948766643*100</f>
        <v>3.6269487666430004E-2</v>
      </c>
      <c r="CJ28" s="218">
        <f>0.000655396005200403*100</f>
        <v>6.5539600520040292E-2</v>
      </c>
      <c r="CK28" s="218">
        <f>0.0000445414760815807*100</f>
        <v>4.4541476081580702E-3</v>
      </c>
      <c r="CL28" s="222">
        <v>0</v>
      </c>
    </row>
    <row r="29" spans="1:90" ht="15" customHeight="1" x14ac:dyDescent="0.3">
      <c r="A29" s="211" t="s">
        <v>547</v>
      </c>
      <c r="B29" s="211" t="s">
        <v>590</v>
      </c>
      <c r="C29" s="211" t="s">
        <v>596</v>
      </c>
      <c r="D29" s="211" t="s">
        <v>597</v>
      </c>
      <c r="E29" s="205" t="s">
        <v>200</v>
      </c>
      <c r="F29" s="128" t="s">
        <v>1024</v>
      </c>
      <c r="G29" s="198" t="s">
        <v>215</v>
      </c>
      <c r="H29" s="198" t="s">
        <v>593</v>
      </c>
      <c r="I29" s="128" t="s">
        <v>740</v>
      </c>
      <c r="J29" s="128" t="s">
        <v>740</v>
      </c>
      <c r="K29" s="422" t="s">
        <v>187</v>
      </c>
      <c r="L29" s="407" t="s">
        <v>187</v>
      </c>
      <c r="M29" s="135"/>
      <c r="N29" s="135"/>
      <c r="O29" s="199"/>
      <c r="P29" s="424">
        <v>752962</v>
      </c>
      <c r="Q29" s="424">
        <v>15244</v>
      </c>
      <c r="R29" s="424" t="s">
        <v>1021</v>
      </c>
      <c r="S29" s="126">
        <v>18</v>
      </c>
      <c r="T29" s="164">
        <v>-19.692222643239774</v>
      </c>
      <c r="U29" s="164">
        <v>-25.611806950731307</v>
      </c>
      <c r="V29" s="164">
        <v>-12.838568611995271</v>
      </c>
      <c r="W29" s="164">
        <v>-23.988700095860267</v>
      </c>
      <c r="X29" s="164">
        <v>-31.345204471173332</v>
      </c>
      <c r="Y29" s="164">
        <v>-17.241667650069289</v>
      </c>
      <c r="Z29" s="164">
        <v>-33.011510854069357</v>
      </c>
      <c r="AA29" s="164">
        <v>-47.500978318192836</v>
      </c>
      <c r="AB29" s="164">
        <v>-18.338620422804084</v>
      </c>
      <c r="AC29" s="164">
        <v>0</v>
      </c>
      <c r="AD29" s="164">
        <v>0</v>
      </c>
      <c r="AE29" s="164">
        <v>0</v>
      </c>
      <c r="AF29" s="164">
        <v>-1.5714285714285694</v>
      </c>
      <c r="AG29" s="164">
        <v>-5.9454518649565102</v>
      </c>
      <c r="AH29" s="164">
        <v>0.57034743722050507</v>
      </c>
      <c r="AI29" s="164">
        <v>-18.142857142857139</v>
      </c>
      <c r="AJ29" s="164">
        <v>-32.989139515455307</v>
      </c>
      <c r="AK29" s="164">
        <v>-6.8103592314118657</v>
      </c>
      <c r="AL29" s="71">
        <v>60.357323768433616</v>
      </c>
      <c r="AM29" s="71">
        <v>23.400388057096372</v>
      </c>
      <c r="AN29" s="71">
        <v>16.242288174470019</v>
      </c>
      <c r="AO29" s="72">
        <v>39.642676231566391</v>
      </c>
      <c r="AP29" s="77">
        <v>-17.668078879776232</v>
      </c>
      <c r="AQ29" s="8">
        <v>-21.984795717309183</v>
      </c>
      <c r="AR29" s="8">
        <v>-12.274139236379824</v>
      </c>
      <c r="AS29" s="8">
        <v>-21.266575724305866</v>
      </c>
      <c r="AT29" s="8">
        <v>-27.579607265472475</v>
      </c>
      <c r="AU29" s="8">
        <v>-15.563832464249771</v>
      </c>
      <c r="AV29" s="8">
        <v>-31.69698070883156</v>
      </c>
      <c r="AW29" s="8">
        <v>-45.866302291700094</v>
      </c>
      <c r="AX29" s="8">
        <v>-17.574787453248106</v>
      </c>
      <c r="AY29" s="164">
        <v>0</v>
      </c>
      <c r="AZ29" s="164">
        <v>0</v>
      </c>
      <c r="BA29" s="164">
        <v>0</v>
      </c>
      <c r="BB29" s="164">
        <v>-1.5714285714285694</v>
      </c>
      <c r="BC29" s="164">
        <v>-5.9454518649565102</v>
      </c>
      <c r="BD29" s="164">
        <v>0.57034743722050507</v>
      </c>
      <c r="BE29" s="164">
        <v>-18.142857142857139</v>
      </c>
      <c r="BF29" s="164">
        <v>-32.989139515455307</v>
      </c>
      <c r="BG29" s="164">
        <v>-6.8103592314118657</v>
      </c>
      <c r="BH29" s="24">
        <v>68.500430862827102</v>
      </c>
      <c r="BI29" s="24">
        <v>15.257280962702884</v>
      </c>
      <c r="BJ29" s="24">
        <v>16.242288174470019</v>
      </c>
      <c r="BK29" s="25">
        <v>31.499569137172905</v>
      </c>
      <c r="BL29" s="215" t="s">
        <v>556</v>
      </c>
      <c r="BN29" s="218">
        <v>0.416344335296496</v>
      </c>
      <c r="BO29" s="218">
        <v>8.1092037292888506</v>
      </c>
      <c r="BP29" s="218">
        <v>15.193758137694401</v>
      </c>
      <c r="BQ29" s="218">
        <v>11.6486930500495</v>
      </c>
      <c r="BR29" s="218">
        <v>4.5259712776835803</v>
      </c>
      <c r="BS29" s="220">
        <v>0.416344335296496</v>
      </c>
      <c r="BT29" s="221">
        <v>8.1092037292888506</v>
      </c>
      <c r="BU29" s="221">
        <v>15.193758137694401</v>
      </c>
      <c r="BV29" s="221">
        <v>11.6486930500495</v>
      </c>
      <c r="BW29" s="222">
        <v>4.5259712776835803</v>
      </c>
      <c r="BX29" s="220">
        <f>0.00139976198899045*100</f>
        <v>0.139976198899045</v>
      </c>
      <c r="BY29" s="221">
        <f>0.0555009244637034*100</f>
        <v>5.55009244637034</v>
      </c>
      <c r="BZ29" s="221">
        <f>0.0876388019103992*100</f>
        <v>8.7638801910399202</v>
      </c>
      <c r="CA29" s="221">
        <f>0.0715122451720931*100</f>
        <v>7.151224517209311</v>
      </c>
      <c r="CB29" s="222">
        <f>0.0290434106100421*100</f>
        <v>2.9043410610042097</v>
      </c>
      <c r="CC29" s="223">
        <v>0.199182989</v>
      </c>
      <c r="CD29" s="224">
        <v>5.2412599709999999</v>
      </c>
      <c r="CE29" s="224">
        <v>8.1629169519999998</v>
      </c>
      <c r="CF29" s="224">
        <v>6.6208425650000002</v>
      </c>
      <c r="CG29" s="225">
        <v>2.6655262890000002</v>
      </c>
      <c r="CH29" s="229">
        <v>0.98326220499999994</v>
      </c>
      <c r="CI29" s="230">
        <v>6.2093988749999998</v>
      </c>
      <c r="CJ29" s="230">
        <v>11.413817269999999</v>
      </c>
      <c r="CK29" s="230">
        <v>8.6125527460000004</v>
      </c>
      <c r="CL29" s="231">
        <v>3.199546647</v>
      </c>
    </row>
    <row r="30" spans="1:90" ht="15" customHeight="1" x14ac:dyDescent="0.3">
      <c r="A30" s="211" t="s">
        <v>547</v>
      </c>
      <c r="B30" s="245" t="s">
        <v>598</v>
      </c>
      <c r="C30" s="245" t="s">
        <v>599</v>
      </c>
      <c r="D30" s="245" t="s">
        <v>600</v>
      </c>
      <c r="E30" s="254" t="s">
        <v>200</v>
      </c>
      <c r="F30" s="128" t="s">
        <v>1025</v>
      </c>
      <c r="G30" s="198" t="s">
        <v>335</v>
      </c>
      <c r="H30" s="198" t="s">
        <v>601</v>
      </c>
      <c r="I30" s="153"/>
      <c r="J30" s="154" t="s">
        <v>738</v>
      </c>
      <c r="K30" s="423" t="s">
        <v>267</v>
      </c>
      <c r="L30" s="424" t="s">
        <v>267</v>
      </c>
      <c r="M30" s="199"/>
      <c r="N30" s="199"/>
      <c r="O30" s="199"/>
      <c r="P30" s="424">
        <v>712991</v>
      </c>
      <c r="Q30" s="424">
        <v>14276</v>
      </c>
      <c r="R30" s="430" t="s">
        <v>999</v>
      </c>
      <c r="S30" s="126">
        <v>19</v>
      </c>
      <c r="T30" s="164">
        <v>-17.384217363682353</v>
      </c>
      <c r="U30" s="164">
        <v>-22.442615733193307</v>
      </c>
      <c r="V30" s="164">
        <v>-11.548700085957933</v>
      </c>
      <c r="W30" s="164">
        <v>-20.963006331473153</v>
      </c>
      <c r="X30" s="164">
        <v>-28.917710142439674</v>
      </c>
      <c r="Y30" s="164">
        <v>-13.612695675330002</v>
      </c>
      <c r="Z30" s="164">
        <v>-25.026315440566492</v>
      </c>
      <c r="AA30" s="164">
        <v>-37.894565363118311</v>
      </c>
      <c r="AB30" s="164">
        <v>-14.545880223455498</v>
      </c>
      <c r="AC30" s="164">
        <v>0</v>
      </c>
      <c r="AD30" s="164">
        <v>0</v>
      </c>
      <c r="AE30" s="164">
        <v>0</v>
      </c>
      <c r="AF30" s="164">
        <v>-1.5714285714285694</v>
      </c>
      <c r="AG30" s="164">
        <v>-7.2086097596933456</v>
      </c>
      <c r="AH30" s="164">
        <v>1.1785345717234321</v>
      </c>
      <c r="AI30" s="164">
        <v>-10.428571428571431</v>
      </c>
      <c r="AJ30" s="164">
        <v>-23.082539682539689</v>
      </c>
      <c r="AK30" s="164">
        <v>-2.6888888888888971</v>
      </c>
      <c r="AL30" s="71">
        <v>58.563169671595887</v>
      </c>
      <c r="AM30" s="71">
        <v>24.538116581424497</v>
      </c>
      <c r="AN30" s="71">
        <v>16.89871374697961</v>
      </c>
      <c r="AO30" s="72">
        <v>41.436830328404106</v>
      </c>
      <c r="AP30" s="77">
        <v>-16.13584160887963</v>
      </c>
      <c r="AQ30" s="8">
        <v>-19.941682317157472</v>
      </c>
      <c r="AR30" s="8">
        <v>-11.512811353511125</v>
      </c>
      <c r="AS30" s="8">
        <v>-19.114920655245598</v>
      </c>
      <c r="AT30" s="8">
        <v>-26.381818442576048</v>
      </c>
      <c r="AU30" s="8">
        <v>-12.891401921759737</v>
      </c>
      <c r="AV30" s="8">
        <v>-23.924807421622916</v>
      </c>
      <c r="AW30" s="8">
        <v>-36.730891106774038</v>
      </c>
      <c r="AX30" s="8">
        <v>-13.939759408798722</v>
      </c>
      <c r="AY30" s="164">
        <v>0</v>
      </c>
      <c r="AZ30" s="164">
        <v>0</v>
      </c>
      <c r="BA30" s="164">
        <v>0</v>
      </c>
      <c r="BB30" s="164">
        <v>-1.5714285714285694</v>
      </c>
      <c r="BC30" s="164">
        <v>-7.2086097596933456</v>
      </c>
      <c r="BD30" s="164">
        <v>1.1785345717234321</v>
      </c>
      <c r="BE30" s="164">
        <v>-10.428571428571431</v>
      </c>
      <c r="BF30" s="164">
        <v>-23.082539682539689</v>
      </c>
      <c r="BG30" s="164">
        <v>-2.6888888888888971</v>
      </c>
      <c r="BH30" s="24">
        <v>67.130454263379178</v>
      </c>
      <c r="BI30" s="24">
        <v>15.970831989641212</v>
      </c>
      <c r="BJ30" s="24">
        <v>16.89871374697961</v>
      </c>
      <c r="BK30" s="25">
        <v>32.869545736620822</v>
      </c>
      <c r="BL30" s="215" t="s">
        <v>556</v>
      </c>
      <c r="BN30" s="218">
        <v>0.35901412847373199</v>
      </c>
      <c r="BO30" s="218">
        <v>8.5365268296722299</v>
      </c>
      <c r="BP30" s="218">
        <v>15.913494446363599</v>
      </c>
      <c r="BQ30" s="218">
        <v>12.1786602353875</v>
      </c>
      <c r="BR30" s="218">
        <v>4.6593847417101202</v>
      </c>
      <c r="BS30" s="220">
        <f>0.00359014128473732*100</f>
        <v>0.35901412847373199</v>
      </c>
      <c r="BT30" s="221">
        <f>0.0853652682967223*100</f>
        <v>8.5365268296722299</v>
      </c>
      <c r="BU30" s="221">
        <f>0.159134944463636*100</f>
        <v>15.913494446363599</v>
      </c>
      <c r="BV30" s="221">
        <f>0.121786602353875*100</f>
        <v>12.1786602353875</v>
      </c>
      <c r="BW30" s="222">
        <f>0.0465938474171012*100</f>
        <v>4.6593847417101202</v>
      </c>
      <c r="BX30" s="220">
        <f>0.00221923562073478*100</f>
        <v>0.22192356207347799</v>
      </c>
      <c r="BY30" s="221">
        <f>0.0775123308923889*100</f>
        <v>7.7512330892388901</v>
      </c>
      <c r="BZ30" s="221">
        <f>0.147602895781993*100</f>
        <v>14.7602895781993</v>
      </c>
      <c r="CA30" s="221">
        <f>0.11386357430003*100</f>
        <v>11.386357430002999</v>
      </c>
      <c r="CB30" s="222">
        <f>0.0450318698501473*100</f>
        <v>4.5031869850147306</v>
      </c>
      <c r="CC30" s="223">
        <v>0.339832564</v>
      </c>
      <c r="CD30" s="224">
        <v>7.1645446049999997</v>
      </c>
      <c r="CE30" s="224">
        <v>13.54038235</v>
      </c>
      <c r="CF30" s="224">
        <v>10.37369689</v>
      </c>
      <c r="CG30" s="225">
        <v>3.9868504339999999</v>
      </c>
      <c r="CH30" s="229">
        <v>0.75922637999999998</v>
      </c>
      <c r="CI30" s="230">
        <v>6.2456165659999998</v>
      </c>
      <c r="CJ30" s="230">
        <v>11.52676466</v>
      </c>
      <c r="CK30" s="230">
        <v>8.6780112680000006</v>
      </c>
      <c r="CL30" s="231">
        <v>3.164967232</v>
      </c>
    </row>
    <row r="31" spans="1:90" ht="15" customHeight="1" x14ac:dyDescent="0.3">
      <c r="A31" s="211" t="s">
        <v>547</v>
      </c>
      <c r="B31" s="245" t="s">
        <v>598</v>
      </c>
      <c r="C31" s="244" t="s">
        <v>602</v>
      </c>
      <c r="D31" s="244" t="s">
        <v>603</v>
      </c>
      <c r="E31" s="253" t="s">
        <v>186</v>
      </c>
      <c r="F31" s="128" t="s">
        <v>1026</v>
      </c>
      <c r="G31" s="198" t="s">
        <v>211</v>
      </c>
      <c r="H31" s="198" t="s">
        <v>604</v>
      </c>
      <c r="I31" s="153"/>
      <c r="J31" s="154" t="s">
        <v>346</v>
      </c>
      <c r="K31" s="423" t="s">
        <v>346</v>
      </c>
      <c r="L31" s="199"/>
      <c r="M31" s="199"/>
      <c r="N31" s="199"/>
      <c r="O31" s="199"/>
      <c r="P31" s="199"/>
      <c r="Q31" s="429" t="s">
        <v>999</v>
      </c>
      <c r="R31" s="429" t="s">
        <v>999</v>
      </c>
      <c r="S31" s="126">
        <v>20</v>
      </c>
      <c r="T31" s="164">
        <v>-16.034159063953155</v>
      </c>
      <c r="U31" s="164">
        <v>-21.507701989241639</v>
      </c>
      <c r="V31" s="164">
        <v>-9.0178076088185577</v>
      </c>
      <c r="W31" s="164">
        <v>-18.269000937316008</v>
      </c>
      <c r="X31" s="164">
        <v>-28.588617489125241</v>
      </c>
      <c r="Y31" s="164">
        <v>-7.615380404112571</v>
      </c>
      <c r="Z31" s="164">
        <v>-13.427108935596777</v>
      </c>
      <c r="AA31" s="164">
        <v>-30.37132578094014</v>
      </c>
      <c r="AB31" s="164">
        <v>-0.63106496739881379</v>
      </c>
      <c r="AC31" s="164">
        <v>0</v>
      </c>
      <c r="AD31" s="164">
        <v>0</v>
      </c>
      <c r="AE31" s="164">
        <v>0</v>
      </c>
      <c r="AF31" s="164">
        <v>0</v>
      </c>
      <c r="AG31" s="164">
        <v>-9.2810457516339824</v>
      </c>
      <c r="AH31" s="164">
        <v>7.3762838468720844</v>
      </c>
      <c r="AI31" s="164">
        <v>-1</v>
      </c>
      <c r="AJ31" s="164">
        <v>-16.53808189942643</v>
      </c>
      <c r="AK31" s="164">
        <v>11.821928771508595</v>
      </c>
      <c r="AL31" s="71">
        <v>52.760216755487534</v>
      </c>
      <c r="AM31" s="71">
        <v>28.617693160962393</v>
      </c>
      <c r="AN31" s="71">
        <v>18.622090083550074</v>
      </c>
      <c r="AO31" s="72">
        <v>47.239783244512466</v>
      </c>
      <c r="AP31" s="77">
        <v>-15.018297262609593</v>
      </c>
      <c r="AQ31" s="8">
        <v>-19.492001309285101</v>
      </c>
      <c r="AR31" s="8">
        <v>-9.0126224720198138</v>
      </c>
      <c r="AS31" s="8">
        <v>-16.690296786579395</v>
      </c>
      <c r="AT31" s="8">
        <v>-26.823734815354882</v>
      </c>
      <c r="AU31" s="8">
        <v>-6.3412912344359569</v>
      </c>
      <c r="AV31" s="8">
        <v>-12.630892929138312</v>
      </c>
      <c r="AW31" s="8">
        <v>-29.230234088371816</v>
      </c>
      <c r="AX31" s="8">
        <v>0.41780266505057284</v>
      </c>
      <c r="AY31" s="164">
        <v>0</v>
      </c>
      <c r="AZ31" s="164">
        <v>0</v>
      </c>
      <c r="BA31" s="164">
        <v>0</v>
      </c>
      <c r="BB31" s="164">
        <v>0</v>
      </c>
      <c r="BC31" s="164">
        <v>-9.2810457516339824</v>
      </c>
      <c r="BD31" s="164">
        <v>7.3762838468720844</v>
      </c>
      <c r="BE31" s="164">
        <v>-1</v>
      </c>
      <c r="BF31" s="164">
        <v>-16.53808189942643</v>
      </c>
      <c r="BG31" s="164">
        <v>11.821928771508595</v>
      </c>
      <c r="BH31" s="24">
        <v>62.369720281710471</v>
      </c>
      <c r="BI31" s="24">
        <v>19.008189634739448</v>
      </c>
      <c r="BJ31" s="24">
        <v>18.622090083550074</v>
      </c>
      <c r="BK31" s="25">
        <v>37.630279718289522</v>
      </c>
      <c r="BL31" s="215" t="s">
        <v>556</v>
      </c>
      <c r="BM31" s="29" t="s">
        <v>690</v>
      </c>
      <c r="BN31" s="218">
        <v>0.31661999939570601</v>
      </c>
      <c r="BO31" s="218">
        <v>9.5790779162162902</v>
      </c>
      <c r="BP31" s="218">
        <v>18.948005904832801</v>
      </c>
      <c r="BQ31" s="218">
        <v>13.776136143515799</v>
      </c>
      <c r="BR31" s="218">
        <v>4.7869926785242702</v>
      </c>
      <c r="BS31" s="220">
        <v>0.31661999939570601</v>
      </c>
      <c r="BT31" s="221">
        <v>9.5790779162162902</v>
      </c>
      <c r="BU31" s="221">
        <v>18.948005904832801</v>
      </c>
      <c r="BV31" s="221">
        <v>13.776136143515799</v>
      </c>
      <c r="BW31" s="222">
        <v>4.7869926785242702</v>
      </c>
      <c r="BX31" s="220" t="s">
        <v>220</v>
      </c>
      <c r="BY31" s="221" t="s">
        <v>220</v>
      </c>
      <c r="BZ31" s="221" t="s">
        <v>220</v>
      </c>
      <c r="CA31" s="221" t="s">
        <v>220</v>
      </c>
      <c r="CB31" s="222" t="s">
        <v>220</v>
      </c>
      <c r="CC31" s="223" t="s">
        <v>220</v>
      </c>
      <c r="CD31" s="224" t="s">
        <v>220</v>
      </c>
      <c r="CE31" s="224" t="s">
        <v>220</v>
      </c>
      <c r="CF31" s="224" t="s">
        <v>220</v>
      </c>
      <c r="CG31" s="225" t="s">
        <v>220</v>
      </c>
      <c r="CH31" s="229">
        <v>0.61991159900000004</v>
      </c>
      <c r="CI31" s="230">
        <v>7.7595041900000004</v>
      </c>
      <c r="CJ31" s="230">
        <v>15.128371209999999</v>
      </c>
      <c r="CK31" s="230">
        <v>10.91410857</v>
      </c>
      <c r="CL31" s="231">
        <v>3.6668147480000002</v>
      </c>
    </row>
    <row r="32" spans="1:90" ht="15" customHeight="1" x14ac:dyDescent="0.3">
      <c r="A32" s="211" t="s">
        <v>547</v>
      </c>
      <c r="B32" s="211" t="s">
        <v>580</v>
      </c>
      <c r="C32" s="211" t="s">
        <v>605</v>
      </c>
      <c r="D32" s="211" t="s">
        <v>606</v>
      </c>
      <c r="E32" s="205" t="s">
        <v>186</v>
      </c>
      <c r="F32" s="128" t="s">
        <v>1027</v>
      </c>
      <c r="G32" s="198" t="s">
        <v>211</v>
      </c>
      <c r="H32" s="198" t="s">
        <v>607</v>
      </c>
      <c r="I32" s="128" t="s">
        <v>187</v>
      </c>
      <c r="J32" s="154" t="s">
        <v>187</v>
      </c>
      <c r="K32" s="423" t="s">
        <v>187</v>
      </c>
      <c r="L32" s="424" t="s">
        <v>187</v>
      </c>
      <c r="M32" s="199"/>
      <c r="N32" s="199"/>
      <c r="O32" s="199"/>
      <c r="P32" s="398">
        <v>391063</v>
      </c>
      <c r="Q32" s="407">
        <v>2120</v>
      </c>
      <c r="R32" s="430">
        <v>20000</v>
      </c>
      <c r="S32" s="126">
        <v>21</v>
      </c>
      <c r="T32" s="164">
        <v>-10.444308915273083</v>
      </c>
      <c r="U32" s="164">
        <v>-17.881451905805932</v>
      </c>
      <c r="V32" s="164">
        <v>-4.267079952995033</v>
      </c>
      <c r="W32" s="164">
        <v>-16.21812991645433</v>
      </c>
      <c r="X32" s="164">
        <v>-29.718948320422342</v>
      </c>
      <c r="Y32" s="164">
        <v>-7.292562613902021</v>
      </c>
      <c r="Z32" s="164">
        <v>-22.724536966879199</v>
      </c>
      <c r="AA32" s="164">
        <v>-39.294513846938621</v>
      </c>
      <c r="AB32" s="164">
        <v>-9.2811490610956753</v>
      </c>
      <c r="AC32" s="164">
        <v>0</v>
      </c>
      <c r="AD32" s="164">
        <v>0</v>
      </c>
      <c r="AE32" s="164">
        <v>0</v>
      </c>
      <c r="AF32" s="164">
        <v>-3.2857142857142918</v>
      </c>
      <c r="AG32" s="164">
        <v>-11.782790309106105</v>
      </c>
      <c r="AH32" s="164">
        <v>2.5154553049289774</v>
      </c>
      <c r="AI32" s="164">
        <v>-12.428571428571431</v>
      </c>
      <c r="AJ32" s="164">
        <v>-26.480112044817929</v>
      </c>
      <c r="AK32" s="164">
        <v>2.4089635854338098E-2</v>
      </c>
      <c r="AL32" s="71">
        <v>49.442649713671798</v>
      </c>
      <c r="AM32" s="71">
        <v>30.558222497681882</v>
      </c>
      <c r="AN32" s="71">
        <v>19.999127788646316</v>
      </c>
      <c r="AO32" s="72">
        <v>50.557350286328202</v>
      </c>
      <c r="AP32" s="77">
        <v>-9.6275577305965925</v>
      </c>
      <c r="AQ32" s="8">
        <v>-16.150295812323151</v>
      </c>
      <c r="AR32" s="8">
        <v>-3.9747810438394708</v>
      </c>
      <c r="AS32" s="8">
        <v>-15.09509703752417</v>
      </c>
      <c r="AT32" s="8">
        <v>-28.022089435023773</v>
      </c>
      <c r="AU32" s="8">
        <v>-6.3854375835231849</v>
      </c>
      <c r="AV32" s="8">
        <v>-21.747352513784122</v>
      </c>
      <c r="AW32" s="8">
        <v>-37.879212161727168</v>
      </c>
      <c r="AX32" s="8">
        <v>-8.4366580777799669</v>
      </c>
      <c r="AY32" s="164">
        <v>0</v>
      </c>
      <c r="AZ32" s="164">
        <v>0</v>
      </c>
      <c r="BA32" s="164">
        <v>0</v>
      </c>
      <c r="BB32" s="164">
        <v>-3.2857142857142918</v>
      </c>
      <c r="BC32" s="164">
        <v>-11.782790309106105</v>
      </c>
      <c r="BD32" s="164">
        <v>2.5154553049289774</v>
      </c>
      <c r="BE32" s="164">
        <v>-12.428571428571431</v>
      </c>
      <c r="BF32" s="164">
        <v>-26.480112044817929</v>
      </c>
      <c r="BG32" s="164">
        <v>2.4089635854338098E-2</v>
      </c>
      <c r="BH32" s="24">
        <v>59.652039522127737</v>
      </c>
      <c r="BI32" s="24">
        <v>20.348832689225947</v>
      </c>
      <c r="BJ32" s="24">
        <v>19.999127788646316</v>
      </c>
      <c r="BK32" s="25">
        <v>40.347960477872263</v>
      </c>
      <c r="BL32" s="215" t="s">
        <v>556</v>
      </c>
      <c r="BN32" s="218">
        <v>0.27211145439493001</v>
      </c>
      <c r="BO32" s="218">
        <v>10.1816088893633</v>
      </c>
      <c r="BP32" s="218">
        <v>20.293461184642901</v>
      </c>
      <c r="BQ32" s="218">
        <v>14.891572360589301</v>
      </c>
      <c r="BR32" s="218">
        <v>5.0531355105650304</v>
      </c>
      <c r="BS32" s="220">
        <v>0.27211145439493001</v>
      </c>
      <c r="BT32" s="221">
        <v>10.1816088893633</v>
      </c>
      <c r="BU32" s="221">
        <v>20.293461184642901</v>
      </c>
      <c r="BV32" s="221">
        <v>14.891572360589301</v>
      </c>
      <c r="BW32" s="222">
        <v>5.0531355105650304</v>
      </c>
      <c r="BX32" s="220">
        <v>0.18593872439708001</v>
      </c>
      <c r="BY32" s="221">
        <v>8.3915788686906598</v>
      </c>
      <c r="BZ32" s="221">
        <v>17.663500993094001</v>
      </c>
      <c r="CA32" s="221">
        <v>12.8699476136551</v>
      </c>
      <c r="CB32" s="222">
        <v>3.9260880803741398</v>
      </c>
      <c r="CC32" s="223">
        <v>0.27064332099999999</v>
      </c>
      <c r="CD32" s="224">
        <v>7.5948444300000002</v>
      </c>
      <c r="CE32" s="224">
        <v>15.792672960000001</v>
      </c>
      <c r="CF32" s="224">
        <v>11.438472730000001</v>
      </c>
      <c r="CG32" s="225">
        <v>3.3183690640000001</v>
      </c>
      <c r="CH32" s="229">
        <v>0.51864300500000005</v>
      </c>
      <c r="CI32" s="230">
        <v>7.7694975350000002</v>
      </c>
      <c r="CJ32" s="230">
        <v>15.475673820000001</v>
      </c>
      <c r="CK32" s="230">
        <v>11.19097524</v>
      </c>
      <c r="CL32" s="231">
        <v>3.5816498330000002</v>
      </c>
    </row>
    <row r="33" spans="1:309" ht="15" customHeight="1" x14ac:dyDescent="0.3">
      <c r="A33" s="211" t="s">
        <v>547</v>
      </c>
      <c r="B33" s="247" t="s">
        <v>608</v>
      </c>
      <c r="C33" s="211" t="s">
        <v>609</v>
      </c>
      <c r="D33" s="211" t="s">
        <v>610</v>
      </c>
      <c r="E33" s="205" t="s">
        <v>186</v>
      </c>
      <c r="F33" s="128" t="s">
        <v>1028</v>
      </c>
      <c r="G33" s="198" t="s">
        <v>211</v>
      </c>
      <c r="H33" s="198" t="s">
        <v>611</v>
      </c>
      <c r="I33" s="128"/>
      <c r="J33" s="154" t="s">
        <v>187</v>
      </c>
      <c r="K33" s="423" t="s">
        <v>187</v>
      </c>
      <c r="L33" s="199"/>
      <c r="M33" s="199"/>
      <c r="N33" s="199"/>
      <c r="O33" s="199"/>
      <c r="P33" s="398">
        <v>1601272</v>
      </c>
      <c r="Q33" s="407">
        <v>26980</v>
      </c>
      <c r="R33" s="430">
        <v>300000</v>
      </c>
      <c r="S33" s="126">
        <v>22</v>
      </c>
      <c r="T33" s="164">
        <v>-7.073972741147216</v>
      </c>
      <c r="U33" s="164">
        <v>-9.396993449507292</v>
      </c>
      <c r="V33" s="164">
        <v>-4.2705503636498037</v>
      </c>
      <c r="W33" s="164">
        <v>-9.900700953263069</v>
      </c>
      <c r="X33" s="164">
        <v>-16.700680106798771</v>
      </c>
      <c r="Y33" s="164">
        <v>-5.0166117933683267</v>
      </c>
      <c r="Z33" s="164">
        <v>-25.750905055786845</v>
      </c>
      <c r="AA33" s="164">
        <v>-41.101044103554443</v>
      </c>
      <c r="AB33" s="164">
        <v>-8.2722160144523684</v>
      </c>
      <c r="AC33" s="164">
        <v>0</v>
      </c>
      <c r="AD33" s="164">
        <v>0</v>
      </c>
      <c r="AE33" s="164">
        <v>0</v>
      </c>
      <c r="AF33" s="164">
        <v>-2.25</v>
      </c>
      <c r="AG33" s="164">
        <v>-7.2875816993464042</v>
      </c>
      <c r="AH33" s="164">
        <v>0.47222222222222854</v>
      </c>
      <c r="AI33" s="164">
        <v>-21.875</v>
      </c>
      <c r="AJ33" s="164">
        <v>-35.68335667600374</v>
      </c>
      <c r="AK33" s="164">
        <v>-5.3583099906629315</v>
      </c>
      <c r="AL33" s="71">
        <v>83.111152525453633</v>
      </c>
      <c r="AM33" s="71">
        <v>9.9506307691587335</v>
      </c>
      <c r="AN33" s="71">
        <v>6.9382167053876342</v>
      </c>
      <c r="AO33" s="72">
        <v>16.888847474546367</v>
      </c>
      <c r="AP33" s="77">
        <v>-6.4786223977880155</v>
      </c>
      <c r="AQ33" s="8">
        <v>-8.2455883933097169</v>
      </c>
      <c r="AR33" s="8">
        <v>-4.2484664924996309</v>
      </c>
      <c r="AS33" s="8">
        <v>-9.1460315039344948</v>
      </c>
      <c r="AT33" s="8">
        <v>-15.524785291853121</v>
      </c>
      <c r="AU33" s="8">
        <v>-4.656871688818967</v>
      </c>
      <c r="AV33" s="8">
        <v>-25.394533371381684</v>
      </c>
      <c r="AW33" s="8">
        <v>-40.547457559984203</v>
      </c>
      <c r="AX33" s="8">
        <v>-8.2045364092521282</v>
      </c>
      <c r="AY33" s="164">
        <v>0</v>
      </c>
      <c r="AZ33" s="164">
        <v>0</v>
      </c>
      <c r="BA33" s="164">
        <v>0</v>
      </c>
      <c r="BB33" s="164">
        <v>-2.25</v>
      </c>
      <c r="BC33" s="164">
        <v>-7.2875816993464042</v>
      </c>
      <c r="BD33" s="164">
        <v>0.47222222222222854</v>
      </c>
      <c r="BE33" s="164">
        <v>-21.875</v>
      </c>
      <c r="BF33" s="164">
        <v>-35.68335667600374</v>
      </c>
      <c r="BG33" s="164">
        <v>-5.3583099906629315</v>
      </c>
      <c r="BH33" s="24">
        <v>86.465238966913944</v>
      </c>
      <c r="BI33" s="24">
        <v>6.5965443276984184</v>
      </c>
      <c r="BJ33" s="24">
        <v>6.9382167053876342</v>
      </c>
      <c r="BK33" s="25">
        <v>13.534761033086053</v>
      </c>
      <c r="BL33" s="215" t="s">
        <v>556</v>
      </c>
      <c r="BN33" s="218">
        <v>0.144446651439431</v>
      </c>
      <c r="BO33" s="218">
        <v>3.34924157590924</v>
      </c>
      <c r="BP33" s="218">
        <v>6.5870158403063401</v>
      </c>
      <c r="BQ33" s="218">
        <v>4.8839732377251002</v>
      </c>
      <c r="BR33" s="218">
        <v>2.0442214459619898</v>
      </c>
      <c r="BS33" s="220">
        <v>0.144446651439431</v>
      </c>
      <c r="BT33" s="221">
        <v>3.34924157590924</v>
      </c>
      <c r="BU33" s="221">
        <v>6.5870158403063401</v>
      </c>
      <c r="BV33" s="221">
        <v>4.8839732377251002</v>
      </c>
      <c r="BW33" s="222">
        <v>2.0442214459619898</v>
      </c>
      <c r="BX33" s="220">
        <v>0.337996130131057</v>
      </c>
      <c r="BY33" s="221">
        <v>5.77303613414061</v>
      </c>
      <c r="BZ33" s="221">
        <v>10.629475289994099</v>
      </c>
      <c r="CA33" s="221">
        <v>8.2429000800811796</v>
      </c>
      <c r="CB33" s="222">
        <v>3.28438500625046</v>
      </c>
      <c r="CC33" s="223">
        <v>0.76116673199999996</v>
      </c>
      <c r="CD33" s="224">
        <v>3.8285639790000001</v>
      </c>
      <c r="CE33" s="224">
        <v>6.7742805260000001</v>
      </c>
      <c r="CF33" s="224">
        <v>5.1463245950000003</v>
      </c>
      <c r="CG33" s="225">
        <v>1.968393713</v>
      </c>
      <c r="CH33" s="229">
        <v>0.24402917299999999</v>
      </c>
      <c r="CI33" s="230">
        <v>2.2265544670000001</v>
      </c>
      <c r="CJ33" s="230">
        <v>4.2040731940000002</v>
      </c>
      <c r="CK33" s="230">
        <v>3.0420384089999999</v>
      </c>
      <c r="CL33" s="231">
        <v>1.2122933170000001</v>
      </c>
    </row>
    <row r="34" spans="1:309" ht="15" customHeight="1" x14ac:dyDescent="0.3">
      <c r="A34" s="211" t="s">
        <v>547</v>
      </c>
      <c r="B34" s="247" t="s">
        <v>608</v>
      </c>
      <c r="C34" s="211" t="s">
        <v>612</v>
      </c>
      <c r="D34" s="211" t="s">
        <v>613</v>
      </c>
      <c r="E34" s="205" t="s">
        <v>200</v>
      </c>
      <c r="F34" s="128" t="s">
        <v>1029</v>
      </c>
      <c r="G34" s="198" t="s">
        <v>692</v>
      </c>
      <c r="H34" s="198"/>
      <c r="I34" s="128" t="s">
        <v>187</v>
      </c>
      <c r="J34" s="154" t="s">
        <v>740</v>
      </c>
      <c r="K34" s="423" t="s">
        <v>192</v>
      </c>
      <c r="L34" s="199" t="s">
        <v>187</v>
      </c>
      <c r="M34" s="199"/>
      <c r="N34" s="199"/>
      <c r="O34" s="199"/>
      <c r="S34" s="126">
        <v>23</v>
      </c>
      <c r="T34" s="164">
        <v>-7.1244924374598639</v>
      </c>
      <c r="U34" s="164">
        <v>-9.5843199669426014</v>
      </c>
      <c r="V34" s="164">
        <v>-4.1885743071920984</v>
      </c>
      <c r="W34" s="164">
        <v>-9.9922769946095116</v>
      </c>
      <c r="X34" s="164">
        <v>-16.89583527910122</v>
      </c>
      <c r="Y34" s="164">
        <v>-5.0217333875574752</v>
      </c>
      <c r="Z34" s="164">
        <v>-25.788645817877153</v>
      </c>
      <c r="AA34" s="164">
        <v>-41.172287887102719</v>
      </c>
      <c r="AB34" s="164">
        <v>-8.2338236953699351</v>
      </c>
      <c r="AC34" s="164">
        <v>0</v>
      </c>
      <c r="AD34" s="164">
        <v>0</v>
      </c>
      <c r="AE34" s="164">
        <v>0</v>
      </c>
      <c r="AF34" s="164">
        <v>-2.25</v>
      </c>
      <c r="AG34" s="164">
        <v>-7.2875816993464042</v>
      </c>
      <c r="AH34" s="164">
        <v>0.47222222222222854</v>
      </c>
      <c r="AI34" s="164">
        <v>-21.875</v>
      </c>
      <c r="AJ34" s="164">
        <v>-35.68335667600374</v>
      </c>
      <c r="AK34" s="164">
        <v>-5.3583099906629315</v>
      </c>
      <c r="AL34" s="71">
        <v>82.346119330575846</v>
      </c>
      <c r="AM34" s="71">
        <v>10.860810680254646</v>
      </c>
      <c r="AN34" s="71">
        <v>6.7930699891695161</v>
      </c>
      <c r="AO34" s="72">
        <v>17.653880669424161</v>
      </c>
      <c r="AP34" s="8">
        <v>-6.480001619010423</v>
      </c>
      <c r="AQ34" s="8">
        <v>-8.3378774389202732</v>
      </c>
      <c r="AR34" s="8">
        <v>-4.1646676237562446</v>
      </c>
      <c r="AS34" s="8">
        <v>-9.1753168022087976</v>
      </c>
      <c r="AT34" s="8">
        <v>-15.622881597041228</v>
      </c>
      <c r="AU34" s="8">
        <v>-4.6323001790337202</v>
      </c>
      <c r="AV34" s="8">
        <v>-25.402859060354615</v>
      </c>
      <c r="AW34" s="8">
        <v>-40.57300807055794</v>
      </c>
      <c r="AX34" s="8">
        <v>-8.1605577862554526</v>
      </c>
      <c r="AY34" s="164">
        <v>0</v>
      </c>
      <c r="AZ34" s="164">
        <v>0</v>
      </c>
      <c r="BA34" s="164">
        <v>0</v>
      </c>
      <c r="BB34" s="164">
        <v>-2.25</v>
      </c>
      <c r="BC34" s="164">
        <v>-7.2875816993464042</v>
      </c>
      <c r="BD34" s="164">
        <v>0.47222222222222854</v>
      </c>
      <c r="BE34" s="164">
        <v>-21.875</v>
      </c>
      <c r="BF34" s="164">
        <v>-35.68335667600374</v>
      </c>
      <c r="BG34" s="164">
        <v>-5.3583099906629315</v>
      </c>
      <c r="BH34" s="24">
        <v>85.977053519023414</v>
      </c>
      <c r="BI34" s="24">
        <v>7.2298764918070786</v>
      </c>
      <c r="BJ34" s="24">
        <v>6.7930699891695161</v>
      </c>
      <c r="BK34" s="25">
        <v>14.022946480976595</v>
      </c>
      <c r="BL34" s="215" t="s">
        <v>556</v>
      </c>
      <c r="BN34" s="218">
        <v>0.131944733508505</v>
      </c>
      <c r="BO34" s="218">
        <v>3.62614336200875</v>
      </c>
      <c r="BP34" s="218">
        <v>7.2203370505369699</v>
      </c>
      <c r="BQ34" s="218">
        <v>5.0973497891530704</v>
      </c>
      <c r="BR34" s="218">
        <v>1.6867571019221901</v>
      </c>
      <c r="BS34" s="220">
        <v>0.131944733508505</v>
      </c>
      <c r="BT34" s="221">
        <v>3.62614336200875</v>
      </c>
      <c r="BU34" s="221">
        <v>7.2203370505369699</v>
      </c>
      <c r="BV34" s="221">
        <v>5.0973497891530704</v>
      </c>
      <c r="BW34" s="222">
        <v>1.6867571019221901</v>
      </c>
      <c r="BX34" s="220">
        <f>0.00311259431756627*100</f>
        <v>0.31125943175662701</v>
      </c>
      <c r="BY34" s="221">
        <f>0.0644901283071769*100</f>
        <v>6.4490128307176899</v>
      </c>
      <c r="BZ34" s="221">
        <f>0.123393410202369*100</f>
        <v>12.339341020236901</v>
      </c>
      <c r="CA34" s="221">
        <f>0.0927728444543179*100</f>
        <v>9.2772844454317891</v>
      </c>
      <c r="CB34" s="222">
        <f>0.03285394592004*100</f>
        <v>3.2853945920039997</v>
      </c>
      <c r="CC34" s="223">
        <v>0.8141929</v>
      </c>
      <c r="CD34" s="224">
        <v>4.5338078590000004</v>
      </c>
      <c r="CE34" s="224">
        <v>8.3649997230000004</v>
      </c>
      <c r="CF34" s="224">
        <v>6.1366849019999998</v>
      </c>
      <c r="CG34" s="225">
        <v>2.073037126</v>
      </c>
      <c r="CH34" s="229">
        <v>0.236682751</v>
      </c>
      <c r="CI34" s="230">
        <v>2.3937094079999999</v>
      </c>
      <c r="CJ34" s="230">
        <v>4.7008997020000001</v>
      </c>
      <c r="CK34" s="230">
        <v>3.2649308420000001</v>
      </c>
      <c r="CL34" s="231">
        <v>1.021185402</v>
      </c>
    </row>
    <row r="35" spans="1:309" ht="15" customHeight="1" x14ac:dyDescent="0.3">
      <c r="A35" s="211" t="s">
        <v>547</v>
      </c>
      <c r="B35" s="245" t="s">
        <v>614</v>
      </c>
      <c r="C35" s="211" t="s">
        <v>615</v>
      </c>
      <c r="D35" s="211" t="s">
        <v>616</v>
      </c>
      <c r="E35" s="205" t="s">
        <v>186</v>
      </c>
      <c r="F35" s="128" t="s">
        <v>748</v>
      </c>
      <c r="G35" s="198" t="s">
        <v>211</v>
      </c>
      <c r="H35" s="198"/>
      <c r="I35" s="153"/>
      <c r="J35" s="154" t="s">
        <v>188</v>
      </c>
      <c r="K35" s="423" t="s">
        <v>188</v>
      </c>
      <c r="L35" s="199"/>
      <c r="M35" s="199"/>
      <c r="N35" s="199"/>
      <c r="O35" s="199"/>
      <c r="S35" s="126">
        <v>24</v>
      </c>
      <c r="T35" s="164">
        <v>-5.7029977615166416</v>
      </c>
      <c r="U35" s="164">
        <v>-7.836186361208334</v>
      </c>
      <c r="V35" s="164">
        <v>-3.0371130724368385</v>
      </c>
      <c r="W35" s="164">
        <v>-8.4213087447130874</v>
      </c>
      <c r="X35" s="164">
        <v>-16.470530844850686</v>
      </c>
      <c r="Y35" s="164">
        <v>-1.3824955686652203</v>
      </c>
      <c r="Z35" s="164">
        <v>-7.3792388107306834</v>
      </c>
      <c r="AA35" s="164">
        <v>-23.746161042972432</v>
      </c>
      <c r="AB35" s="164">
        <v>2.3991072889265865</v>
      </c>
      <c r="AC35" s="164">
        <v>0</v>
      </c>
      <c r="AD35" s="164">
        <v>0</v>
      </c>
      <c r="AE35" s="164">
        <v>0</v>
      </c>
      <c r="AF35" s="164">
        <v>-1.875</v>
      </c>
      <c r="AG35" s="164">
        <v>-8.5416666666666714</v>
      </c>
      <c r="AH35" s="164">
        <v>3.0555555555555571</v>
      </c>
      <c r="AI35" s="164">
        <v>-3.75</v>
      </c>
      <c r="AJ35" s="164">
        <v>-19.344070961718018</v>
      </c>
      <c r="AK35" s="164">
        <v>4.7408963585434094</v>
      </c>
      <c r="AL35" s="71">
        <v>87.475781883538303</v>
      </c>
      <c r="AM35" s="71">
        <v>7.796481500385152</v>
      </c>
      <c r="AN35" s="71">
        <v>4.7277366160765437</v>
      </c>
      <c r="AO35" s="72">
        <v>12.524218116461697</v>
      </c>
      <c r="AP35" s="8">
        <v>-4.8758305007901157</v>
      </c>
      <c r="AQ35" s="8">
        <v>-6.5629896573895508</v>
      </c>
      <c r="AR35" s="8">
        <v>-2.6833063401910238</v>
      </c>
      <c r="AS35" s="8">
        <v>-7.4084508744357151</v>
      </c>
      <c r="AT35" s="8">
        <v>-15.154193898408991</v>
      </c>
      <c r="AU35" s="8">
        <v>-0.78592448973387263</v>
      </c>
      <c r="AV35" s="8">
        <v>-6.8896908400966339</v>
      </c>
      <c r="AW35" s="8">
        <v>-23.177730636471821</v>
      </c>
      <c r="AX35" s="8">
        <v>2.6396234195601949</v>
      </c>
      <c r="AY35" s="164">
        <v>0</v>
      </c>
      <c r="AZ35" s="164">
        <v>0</v>
      </c>
      <c r="BA35" s="164">
        <v>0</v>
      </c>
      <c r="BB35" s="164">
        <v>-1.875</v>
      </c>
      <c r="BC35" s="164">
        <v>-8.5416666666666714</v>
      </c>
      <c r="BD35" s="164">
        <v>3.0555555555555571</v>
      </c>
      <c r="BE35" s="164">
        <v>-3.75</v>
      </c>
      <c r="BF35" s="164">
        <v>-19.344070961718018</v>
      </c>
      <c r="BG35" s="164">
        <v>4.7408963585434094</v>
      </c>
      <c r="BH35" s="24">
        <v>90.17673620427793</v>
      </c>
      <c r="BI35" s="24">
        <v>5.0955271796455319</v>
      </c>
      <c r="BJ35" s="24">
        <v>4.7277366160765437</v>
      </c>
      <c r="BK35" s="25">
        <v>9.8232637957220756</v>
      </c>
      <c r="BL35" s="215" t="s">
        <v>556</v>
      </c>
      <c r="BN35" s="218">
        <v>8.6611983738039397E-2</v>
      </c>
      <c r="BO35" s="218">
        <v>2.6986149706225699</v>
      </c>
      <c r="BP35" s="218">
        <v>5.0911138424733302</v>
      </c>
      <c r="BQ35" s="218">
        <v>3.4588570623039701</v>
      </c>
      <c r="BR35" s="218">
        <v>1.26478476730348</v>
      </c>
      <c r="BS35" s="220">
        <v>8.6611983738039397E-2</v>
      </c>
      <c r="BT35" s="221">
        <v>2.6986149706225699</v>
      </c>
      <c r="BU35" s="221">
        <v>5.0911138424733302</v>
      </c>
      <c r="BV35" s="221">
        <v>3.4588570623039701</v>
      </c>
      <c r="BW35" s="222">
        <v>1.26478476730348</v>
      </c>
      <c r="BX35" s="220">
        <v>0.27459980537803702</v>
      </c>
      <c r="BY35" s="221">
        <v>11.303597899667899</v>
      </c>
      <c r="BZ35" s="221">
        <v>22.085276961377101</v>
      </c>
      <c r="CA35" s="221">
        <v>16.383593621944801</v>
      </c>
      <c r="CB35" s="222">
        <v>5.5192567996183897</v>
      </c>
      <c r="CC35" s="223">
        <v>0.46338016100000001</v>
      </c>
      <c r="CD35" s="224">
        <v>10.051602620000001</v>
      </c>
      <c r="CE35" s="224">
        <v>19.68701682</v>
      </c>
      <c r="CF35" s="224">
        <v>14.58374834</v>
      </c>
      <c r="CG35" s="225">
        <v>4.7408327879999996</v>
      </c>
      <c r="CH35" s="229">
        <v>0.146126637</v>
      </c>
      <c r="CI35" s="230">
        <v>1.6864771730000001</v>
      </c>
      <c r="CJ35" s="230">
        <v>3.1936444110000002</v>
      </c>
      <c r="CK35" s="230">
        <v>2.1613394889999999</v>
      </c>
      <c r="CL35" s="231">
        <v>0.73127624599999996</v>
      </c>
      <c r="IM35" s="81"/>
      <c r="IN35" s="81"/>
      <c r="IO35" s="81"/>
      <c r="IP35" s="81"/>
      <c r="IQ35" s="81"/>
      <c r="IR35" s="81"/>
      <c r="IS35" s="81"/>
      <c r="IT35" s="81"/>
      <c r="IU35" s="81"/>
      <c r="IV35" s="81"/>
      <c r="IW35" s="81"/>
      <c r="IX35" s="81"/>
      <c r="IY35" s="81"/>
      <c r="IZ35" s="81"/>
      <c r="JA35" s="81"/>
      <c r="JB35" s="81"/>
      <c r="JC35" s="81"/>
      <c r="JD35" s="81"/>
      <c r="JQ35" s="82"/>
      <c r="JR35" s="82"/>
      <c r="JS35" s="82"/>
      <c r="JT35" s="82"/>
      <c r="JU35" s="82"/>
      <c r="JV35" s="82"/>
      <c r="JW35" s="82"/>
      <c r="JX35" s="82"/>
      <c r="JY35" s="82"/>
      <c r="JZ35" s="82"/>
      <c r="KA35" s="82"/>
      <c r="KB35" s="82"/>
      <c r="KC35" s="82"/>
      <c r="KD35" s="82"/>
      <c r="KE35" s="82"/>
      <c r="KF35" s="82"/>
      <c r="KG35" s="82"/>
      <c r="KH35" s="82"/>
      <c r="KI35" s="82"/>
      <c r="KJ35" s="82"/>
      <c r="KK35" s="82"/>
      <c r="KL35" s="82"/>
      <c r="KM35" s="82"/>
      <c r="KN35" s="82"/>
      <c r="KO35" s="82"/>
      <c r="KP35" s="82"/>
      <c r="KQ35" s="82"/>
      <c r="KR35" s="82"/>
      <c r="KS35" s="82"/>
      <c r="KT35" s="82"/>
      <c r="KU35" s="82"/>
      <c r="KV35" s="82"/>
      <c r="KW35" s="82"/>
    </row>
    <row r="36" spans="1:309" ht="15" customHeight="1" x14ac:dyDescent="0.3">
      <c r="A36" s="211" t="s">
        <v>547</v>
      </c>
      <c r="B36" s="247" t="s">
        <v>617</v>
      </c>
      <c r="C36" s="211" t="s">
        <v>618</v>
      </c>
      <c r="D36" s="211" t="s">
        <v>619</v>
      </c>
      <c r="E36" s="205" t="s">
        <v>704</v>
      </c>
      <c r="F36" s="128" t="s">
        <v>1090</v>
      </c>
      <c r="G36" s="198" t="s">
        <v>211</v>
      </c>
      <c r="H36" s="198"/>
      <c r="I36" s="128" t="s">
        <v>201</v>
      </c>
      <c r="J36" s="154" t="s">
        <v>187</v>
      </c>
      <c r="K36" s="423" t="s">
        <v>187</v>
      </c>
      <c r="L36" s="199"/>
      <c r="M36" s="199" t="s">
        <v>1030</v>
      </c>
      <c r="N36" s="424" t="s">
        <v>267</v>
      </c>
      <c r="O36" s="199"/>
      <c r="P36" s="398">
        <v>9907</v>
      </c>
      <c r="Q36" s="407">
        <v>344</v>
      </c>
      <c r="R36" s="430">
        <v>3000</v>
      </c>
      <c r="S36" s="126">
        <v>25</v>
      </c>
      <c r="T36" s="164">
        <v>-38.935539520713348</v>
      </c>
      <c r="U36" s="164">
        <v>-47.158813411806598</v>
      </c>
      <c r="V36" s="164">
        <v>-27.272837556811851</v>
      </c>
      <c r="W36" s="164">
        <v>-46.337461860650791</v>
      </c>
      <c r="X36" s="164">
        <v>-59.065769557631484</v>
      </c>
      <c r="Y36" s="164">
        <v>-32.785619345489252</v>
      </c>
      <c r="Z36" s="164">
        <v>-36.701896165952718</v>
      </c>
      <c r="AA36" s="164">
        <v>-63.075265490018246</v>
      </c>
      <c r="AB36" s="164">
        <v>-16.771072318476541</v>
      </c>
      <c r="AC36" s="164">
        <v>0</v>
      </c>
      <c r="AD36" s="164">
        <v>0</v>
      </c>
      <c r="AE36" s="164">
        <v>0</v>
      </c>
      <c r="AF36" s="164">
        <v>-1.7142857142857082</v>
      </c>
      <c r="AG36" s="164">
        <v>-7.9682539682539613</v>
      </c>
      <c r="AH36" s="164">
        <v>2.5079365079365203</v>
      </c>
      <c r="AI36" s="164">
        <v>-9.7142857142857082</v>
      </c>
      <c r="AJ36" s="164">
        <v>-30.646258503401356</v>
      </c>
      <c r="AK36" s="164">
        <v>0.91836734693877986</v>
      </c>
      <c r="AL36" s="71">
        <v>18.632746372193417</v>
      </c>
      <c r="AM36" s="71">
        <v>43.220349910468279</v>
      </c>
      <c r="AN36" s="71">
        <v>38.146903717338304</v>
      </c>
      <c r="AO36" s="72">
        <v>81.367253627806576</v>
      </c>
      <c r="AP36" s="77">
        <v>-35.444665180881941</v>
      </c>
      <c r="AQ36" s="8">
        <v>-41.970685122761097</v>
      </c>
      <c r="AR36" s="8">
        <v>-25.56112864138727</v>
      </c>
      <c r="AS36" s="8">
        <v>-41.082178207752435</v>
      </c>
      <c r="AT36" s="8">
        <v>-52.470691224099056</v>
      </c>
      <c r="AU36" s="8">
        <v>-29.646482516779585</v>
      </c>
      <c r="AV36" s="8">
        <v>-34.387294701499286</v>
      </c>
      <c r="AW36" s="8">
        <v>-59.294388390589042</v>
      </c>
      <c r="AX36" s="8">
        <v>-15.876671284202985</v>
      </c>
      <c r="AY36" s="164">
        <v>0</v>
      </c>
      <c r="AZ36" s="164">
        <v>0</v>
      </c>
      <c r="BA36" s="164">
        <v>0</v>
      </c>
      <c r="BB36" s="164">
        <v>-1.7142857142857082</v>
      </c>
      <c r="BC36" s="164">
        <v>-7.9682539682539613</v>
      </c>
      <c r="BD36" s="164">
        <v>2.5079365079365203</v>
      </c>
      <c r="BE36" s="164">
        <v>-9.7142857142857082</v>
      </c>
      <c r="BF36" s="164">
        <v>-30.646258503401356</v>
      </c>
      <c r="BG36" s="164">
        <v>0.91836734693877986</v>
      </c>
      <c r="BH36" s="24">
        <v>31.913246578073768</v>
      </c>
      <c r="BI36" s="24">
        <v>29.939849704587925</v>
      </c>
      <c r="BJ36" s="24">
        <v>38.146903717338304</v>
      </c>
      <c r="BK36" s="25">
        <v>68.086753421926232</v>
      </c>
      <c r="BL36" s="215" t="s">
        <v>556</v>
      </c>
      <c r="BN36" s="218">
        <v>0.52851125487406703</v>
      </c>
      <c r="BO36" s="218">
        <v>13.2103112675887</v>
      </c>
      <c r="BP36" s="218">
        <v>29.781614229206799</v>
      </c>
      <c r="BQ36" s="218">
        <v>24.521690418488401</v>
      </c>
      <c r="BR36" s="218">
        <v>13.4236026193178</v>
      </c>
      <c r="BS36" s="220">
        <v>0.52851125487406703</v>
      </c>
      <c r="BT36" s="221">
        <v>13.2103112675887</v>
      </c>
      <c r="BU36" s="221">
        <v>29.781614229206799</v>
      </c>
      <c r="BV36" s="221">
        <v>24.521690418488401</v>
      </c>
      <c r="BW36" s="222">
        <v>13.4236026193178</v>
      </c>
      <c r="BX36" s="220">
        <v>5.1765629163818001E-2</v>
      </c>
      <c r="BY36" s="221">
        <v>8.6195346007563902</v>
      </c>
      <c r="BZ36" s="221">
        <v>16.872463708617101</v>
      </c>
      <c r="CA36" s="221">
        <v>13.489262900591401</v>
      </c>
      <c r="CB36" s="222">
        <v>7.1854023976492902</v>
      </c>
      <c r="CC36" s="223">
        <v>5.5838027999999998E-2</v>
      </c>
      <c r="CD36" s="224">
        <v>8.6286002970000002</v>
      </c>
      <c r="CE36" s="224">
        <v>16.86987967</v>
      </c>
      <c r="CF36" s="224">
        <v>13.46996416</v>
      </c>
      <c r="CG36" s="225">
        <v>7.1732662879999998</v>
      </c>
      <c r="CH36" s="229">
        <v>1.280841219</v>
      </c>
      <c r="CI36" s="230">
        <v>13.347960779999999</v>
      </c>
      <c r="CJ36" s="230">
        <v>29.46973989</v>
      </c>
      <c r="CK36" s="230">
        <v>24.15949839</v>
      </c>
      <c r="CL36" s="231">
        <v>13.19023046</v>
      </c>
      <c r="JG36" s="82"/>
      <c r="JH36" s="82"/>
      <c r="JI36" s="82"/>
    </row>
    <row r="37" spans="1:309" s="82" customFormat="1" ht="15" customHeight="1" x14ac:dyDescent="0.3">
      <c r="A37" s="211" t="s">
        <v>547</v>
      </c>
      <c r="B37" s="247" t="s">
        <v>617</v>
      </c>
      <c r="C37" s="211" t="s">
        <v>1031</v>
      </c>
      <c r="D37" s="211" t="s">
        <v>693</v>
      </c>
      <c r="E37" s="205" t="s">
        <v>750</v>
      </c>
      <c r="F37" s="128"/>
      <c r="G37" s="198" t="s">
        <v>211</v>
      </c>
      <c r="H37" s="198" t="s">
        <v>621</v>
      </c>
      <c r="I37" s="128" t="s">
        <v>741</v>
      </c>
      <c r="J37" s="154" t="s">
        <v>267</v>
      </c>
      <c r="K37" s="423" t="s">
        <v>267</v>
      </c>
      <c r="L37" s="199"/>
      <c r="M37" s="199"/>
      <c r="N37" s="199"/>
      <c r="O37" s="199"/>
      <c r="P37" s="128"/>
      <c r="Q37" s="407">
        <v>1260</v>
      </c>
      <c r="R37" s="430">
        <v>20000</v>
      </c>
      <c r="S37" s="126">
        <v>26</v>
      </c>
      <c r="T37" s="164">
        <v>-19.347930466479667</v>
      </c>
      <c r="U37" s="164">
        <v>-25.43078279746635</v>
      </c>
      <c r="V37" s="164">
        <v>-12.645669967608654</v>
      </c>
      <c r="W37" s="164">
        <v>-29.005004536428018</v>
      </c>
      <c r="X37" s="164">
        <v>-38.473981796094833</v>
      </c>
      <c r="Y37" s="164">
        <v>-17.901152833621396</v>
      </c>
      <c r="Z37" s="164">
        <v>-28.395074704230694</v>
      </c>
      <c r="AA37" s="164">
        <v>-50.952777936554973</v>
      </c>
      <c r="AB37" s="164">
        <v>-10.594226832101043</v>
      </c>
      <c r="AC37" s="164">
        <v>0</v>
      </c>
      <c r="AD37" s="164">
        <v>0</v>
      </c>
      <c r="AE37" s="164">
        <v>0</v>
      </c>
      <c r="AF37" s="164">
        <v>-2.4285714285714306</v>
      </c>
      <c r="AG37" s="164">
        <v>-8.9206349206349245</v>
      </c>
      <c r="AH37" s="164">
        <v>1.8730158730158735</v>
      </c>
      <c r="AI37" s="164">
        <v>-12.571428571428569</v>
      </c>
      <c r="AJ37" s="164">
        <v>-31.463785514205682</v>
      </c>
      <c r="AK37" s="164">
        <v>-0.56942777110843679</v>
      </c>
      <c r="AL37" s="71">
        <v>52.210656790729125</v>
      </c>
      <c r="AM37" s="71">
        <v>29.024196025482556</v>
      </c>
      <c r="AN37" s="71">
        <v>18.765147183788322</v>
      </c>
      <c r="AO37" s="72">
        <v>47.789343209270882</v>
      </c>
      <c r="AP37" s="77">
        <v>-17.176853124453075</v>
      </c>
      <c r="AQ37" s="8">
        <v>-21.865994253786752</v>
      </c>
      <c r="AR37" s="8">
        <v>-11.756980612058825</v>
      </c>
      <c r="AS37" s="8">
        <v>-24.690863753562283</v>
      </c>
      <c r="AT37" s="8">
        <v>-33.312309336034488</v>
      </c>
      <c r="AU37" s="8">
        <v>-15.314980622412676</v>
      </c>
      <c r="AV37" s="8">
        <v>-26.364066868141308</v>
      </c>
      <c r="AW37" s="8">
        <v>-47.597230478355243</v>
      </c>
      <c r="AX37" s="8">
        <v>-9.6822448724359731</v>
      </c>
      <c r="AY37" s="164">
        <v>0</v>
      </c>
      <c r="AZ37" s="164">
        <v>0</v>
      </c>
      <c r="BA37" s="164">
        <v>0</v>
      </c>
      <c r="BB37" s="164">
        <v>-2.4285714285714306</v>
      </c>
      <c r="BC37" s="164">
        <v>-8.9206349206349245</v>
      </c>
      <c r="BD37" s="164">
        <v>1.8730158730158735</v>
      </c>
      <c r="BE37" s="164">
        <v>-12.571428571428569</v>
      </c>
      <c r="BF37" s="164">
        <v>-31.463785514205682</v>
      </c>
      <c r="BG37" s="164">
        <v>-0.56942777110843679</v>
      </c>
      <c r="BH37" s="24">
        <v>62.015522206333081</v>
      </c>
      <c r="BI37" s="24">
        <v>19.219330609878597</v>
      </c>
      <c r="BJ37" s="24">
        <v>18.765147183788322</v>
      </c>
      <c r="BK37" s="25">
        <v>37.984477793666919</v>
      </c>
      <c r="BL37" s="215" t="s">
        <v>556</v>
      </c>
      <c r="BM37" s="29"/>
      <c r="BN37" s="219">
        <v>0.41381040892037502</v>
      </c>
      <c r="BO37" s="219">
        <v>9.764291861933561</v>
      </c>
      <c r="BP37" s="219">
        <v>19.139799019290098</v>
      </c>
      <c r="BQ37" s="219">
        <v>13.022408016561299</v>
      </c>
      <c r="BR37" s="219">
        <v>5.6650870349312799</v>
      </c>
      <c r="BS37" s="226">
        <f>0.00413810408920375*100</f>
        <v>0.41381040892037502</v>
      </c>
      <c r="BT37" s="227">
        <f>0.0976429186193356*100</f>
        <v>9.764291861933561</v>
      </c>
      <c r="BU37" s="227">
        <f>0.191397990192901*100</f>
        <v>19.139799019290098</v>
      </c>
      <c r="BV37" s="227">
        <f>0.130224080165613*100</f>
        <v>13.022408016561299</v>
      </c>
      <c r="BW37" s="228">
        <f>0.0566508703493128*100</f>
        <v>5.6650870349312799</v>
      </c>
      <c r="BX37" s="220" t="s">
        <v>220</v>
      </c>
      <c r="BY37" s="221" t="s">
        <v>220</v>
      </c>
      <c r="BZ37" s="221" t="s">
        <v>220</v>
      </c>
      <c r="CA37" s="221" t="s">
        <v>220</v>
      </c>
      <c r="CB37" s="222" t="s">
        <v>220</v>
      </c>
      <c r="CC37" s="223" t="s">
        <v>220</v>
      </c>
      <c r="CD37" s="224" t="s">
        <v>220</v>
      </c>
      <c r="CE37" s="224" t="s">
        <v>220</v>
      </c>
      <c r="CF37" s="224" t="s">
        <v>220</v>
      </c>
      <c r="CG37" s="225" t="s">
        <v>220</v>
      </c>
      <c r="CH37" s="220">
        <v>0.79362326000000005</v>
      </c>
      <c r="CI37" s="218">
        <v>6.8582854900000001</v>
      </c>
      <c r="CJ37" s="218">
        <v>13.34405463</v>
      </c>
      <c r="CK37" s="218">
        <v>9.0030080399999992</v>
      </c>
      <c r="CL37" s="222">
        <v>3.7262300220000002</v>
      </c>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row>
    <row r="38" spans="1:309" ht="15" customHeight="1" x14ac:dyDescent="0.3">
      <c r="A38" s="211" t="s">
        <v>547</v>
      </c>
      <c r="B38" s="247" t="s">
        <v>617</v>
      </c>
      <c r="C38" s="211" t="s">
        <v>620</v>
      </c>
      <c r="D38" s="211" t="s">
        <v>622</v>
      </c>
      <c r="E38" s="205" t="s">
        <v>200</v>
      </c>
      <c r="F38" s="128" t="s">
        <v>1032</v>
      </c>
      <c r="G38" s="198" t="s">
        <v>215</v>
      </c>
      <c r="H38" s="198"/>
      <c r="I38" s="128" t="s">
        <v>741</v>
      </c>
      <c r="J38" s="154" t="s">
        <v>742</v>
      </c>
      <c r="K38" s="423" t="s">
        <v>187</v>
      </c>
      <c r="L38" s="424" t="s">
        <v>187</v>
      </c>
      <c r="M38" s="424" t="s">
        <v>267</v>
      </c>
      <c r="N38" s="424" t="s">
        <v>267</v>
      </c>
      <c r="O38" s="199"/>
      <c r="P38" s="398">
        <v>92897</v>
      </c>
      <c r="Q38" s="398">
        <v>512</v>
      </c>
      <c r="R38" s="424" t="s">
        <v>1001</v>
      </c>
      <c r="S38" s="126">
        <v>27</v>
      </c>
      <c r="T38" s="164">
        <v>-14.425690112574614</v>
      </c>
      <c r="U38" s="164">
        <v>-19.872864678806238</v>
      </c>
      <c r="V38" s="164">
        <v>-8.7485512789691029</v>
      </c>
      <c r="W38" s="164">
        <v>-23.951624373723021</v>
      </c>
      <c r="X38" s="164">
        <v>-33.321657555628207</v>
      </c>
      <c r="Y38" s="164">
        <v>-13.341391084548761</v>
      </c>
      <c r="Z38" s="164">
        <v>-24.696913594406482</v>
      </c>
      <c r="AA38" s="164">
        <v>-47.493108920081603</v>
      </c>
      <c r="AB38" s="164">
        <v>-7.7708354375569115</v>
      </c>
      <c r="AC38" s="164">
        <v>0</v>
      </c>
      <c r="AD38" s="164">
        <v>0</v>
      </c>
      <c r="AE38" s="164">
        <v>0</v>
      </c>
      <c r="AF38" s="164">
        <v>-2.4285714285714306</v>
      </c>
      <c r="AG38" s="164">
        <v>-8.9206349206349245</v>
      </c>
      <c r="AH38" s="164">
        <v>1.8730158730158735</v>
      </c>
      <c r="AI38" s="164">
        <v>-12.571428571428569</v>
      </c>
      <c r="AJ38" s="164">
        <v>-31.463785514205682</v>
      </c>
      <c r="AK38" s="164">
        <v>-0.56942777110843679</v>
      </c>
      <c r="AL38" s="71">
        <v>58.67254853006461</v>
      </c>
      <c r="AM38" s="71">
        <v>30.036234035800092</v>
      </c>
      <c r="AN38" s="71">
        <v>11.291217434135298</v>
      </c>
      <c r="AO38" s="72">
        <v>41.32745146993539</v>
      </c>
      <c r="AP38" s="77">
        <v>-11.783413521668749</v>
      </c>
      <c r="AQ38" s="8">
        <v>-15.534393110722121</v>
      </c>
      <c r="AR38" s="8">
        <v>-7.6669854428277375</v>
      </c>
      <c r="AS38" s="8">
        <v>-18.701165083406849</v>
      </c>
      <c r="AT38" s="8">
        <v>-27.039722754351132</v>
      </c>
      <c r="AU38" s="8">
        <v>-10.193929609339634</v>
      </c>
      <c r="AV38" s="8">
        <v>-22.225106460978409</v>
      </c>
      <c r="AW38" s="8">
        <v>-43.409291026151294</v>
      </c>
      <c r="AX38" s="8">
        <v>-6.6609216925670154</v>
      </c>
      <c r="AY38" s="164">
        <v>0</v>
      </c>
      <c r="AZ38" s="164">
        <v>0</v>
      </c>
      <c r="BA38" s="164">
        <v>0</v>
      </c>
      <c r="BB38" s="164">
        <v>-2.4285714285714306</v>
      </c>
      <c r="BC38" s="164">
        <v>-8.9206349206349245</v>
      </c>
      <c r="BD38" s="164">
        <v>1.8730158730158735</v>
      </c>
      <c r="BE38" s="164">
        <v>-12.571428571428569</v>
      </c>
      <c r="BF38" s="164">
        <v>-31.463785514205682</v>
      </c>
      <c r="BG38" s="164">
        <v>-0.56942777110843679</v>
      </c>
      <c r="BH38" s="24">
        <v>70.605410553510467</v>
      </c>
      <c r="BI38" s="24">
        <v>18.103372012354232</v>
      </c>
      <c r="BJ38" s="24">
        <v>11.291217434135298</v>
      </c>
      <c r="BK38" s="25">
        <v>29.39458944648953</v>
      </c>
      <c r="BL38" s="215" t="s">
        <v>556</v>
      </c>
      <c r="BN38" s="219">
        <v>0.26464282526614102</v>
      </c>
      <c r="BO38" s="219">
        <v>11.9012825602519</v>
      </c>
      <c r="BP38" s="219">
        <v>18.0554627371923</v>
      </c>
      <c r="BQ38" s="219">
        <v>9.94731567352658</v>
      </c>
      <c r="BR38" s="219">
        <v>1.3140203637840802</v>
      </c>
      <c r="BS38" s="226">
        <f>0.00264642825266141*100</f>
        <v>0.26464282526614102</v>
      </c>
      <c r="BT38" s="227">
        <f>0.119012825602519*100</f>
        <v>11.9012825602519</v>
      </c>
      <c r="BU38" s="227">
        <f>0.180554627371923*100</f>
        <v>18.0554627371923</v>
      </c>
      <c r="BV38" s="227">
        <f>0.0994731567352658*100</f>
        <v>9.94731567352658</v>
      </c>
      <c r="BW38" s="228">
        <f>0.0131402036378408*100</f>
        <v>1.3140203637840802</v>
      </c>
      <c r="BX38" s="220" t="s">
        <v>220</v>
      </c>
      <c r="BY38" s="221" t="s">
        <v>220</v>
      </c>
      <c r="BZ38" s="221" t="s">
        <v>220</v>
      </c>
      <c r="CA38" s="221" t="s">
        <v>220</v>
      </c>
      <c r="CB38" s="222" t="s">
        <v>220</v>
      </c>
      <c r="CC38" s="223" t="s">
        <v>220</v>
      </c>
      <c r="CD38" s="224" t="s">
        <v>220</v>
      </c>
      <c r="CE38" s="224" t="s">
        <v>220</v>
      </c>
      <c r="CF38" s="224" t="s">
        <v>220</v>
      </c>
      <c r="CG38" s="225" t="s">
        <v>220</v>
      </c>
      <c r="CH38" s="220">
        <v>0.45675976400000001</v>
      </c>
      <c r="CI38" s="218">
        <v>8.5795825360000002</v>
      </c>
      <c r="CJ38" s="218">
        <v>13.56757198</v>
      </c>
      <c r="CK38" s="218">
        <v>7.6168254019999999</v>
      </c>
      <c r="CL38" s="222">
        <v>1.0196281920000001</v>
      </c>
    </row>
    <row r="39" spans="1:309" ht="15" customHeight="1" x14ac:dyDescent="0.3">
      <c r="A39" s="211" t="s">
        <v>547</v>
      </c>
      <c r="B39" s="247" t="s">
        <v>617</v>
      </c>
      <c r="C39" s="211" t="s">
        <v>623</v>
      </c>
      <c r="D39" s="211" t="s">
        <v>624</v>
      </c>
      <c r="E39" s="205" t="s">
        <v>200</v>
      </c>
      <c r="F39" s="128" t="s">
        <v>1033</v>
      </c>
      <c r="G39" s="198" t="s">
        <v>215</v>
      </c>
      <c r="H39" s="198"/>
      <c r="I39" s="128" t="s">
        <v>741</v>
      </c>
      <c r="J39" s="154" t="s">
        <v>742</v>
      </c>
      <c r="K39" s="423" t="s">
        <v>267</v>
      </c>
      <c r="L39" s="199"/>
      <c r="M39" s="199"/>
      <c r="N39" s="424" t="s">
        <v>267</v>
      </c>
      <c r="O39" s="199"/>
      <c r="P39" s="398">
        <v>168197</v>
      </c>
      <c r="Q39" s="398">
        <v>748</v>
      </c>
      <c r="R39" s="431">
        <v>20000</v>
      </c>
      <c r="S39" s="126">
        <v>28</v>
      </c>
      <c r="T39" s="164">
        <v>-25.990600545150514</v>
      </c>
      <c r="U39" s="164">
        <v>-32.940962376274499</v>
      </c>
      <c r="V39" s="164">
        <v>-17.897720995952952</v>
      </c>
      <c r="W39" s="164">
        <v>-35.842722016314752</v>
      </c>
      <c r="X39" s="164">
        <v>-45.452193296188589</v>
      </c>
      <c r="Y39" s="164">
        <v>-24.059633148003954</v>
      </c>
      <c r="Z39" s="164">
        <v>-33.389288493028346</v>
      </c>
      <c r="AA39" s="164">
        <v>-55.637532127151616</v>
      </c>
      <c r="AB39" s="164">
        <v>-14.40156582432833</v>
      </c>
      <c r="AC39" s="164">
        <v>0</v>
      </c>
      <c r="AD39" s="164">
        <v>0</v>
      </c>
      <c r="AE39" s="164">
        <v>0</v>
      </c>
      <c r="AF39" s="164">
        <v>-2.4285714285714306</v>
      </c>
      <c r="AG39" s="164">
        <v>-8.9206349206349245</v>
      </c>
      <c r="AH39" s="164">
        <v>1.8730158730158735</v>
      </c>
      <c r="AI39" s="164">
        <v>-12.571428571428569</v>
      </c>
      <c r="AJ39" s="164">
        <v>-31.463785514205682</v>
      </c>
      <c r="AK39" s="164">
        <v>-0.56942777110843679</v>
      </c>
      <c r="AL39" s="71">
        <v>43.429921601868898</v>
      </c>
      <c r="AM39" s="71">
        <v>27.747270355638598</v>
      </c>
      <c r="AN39" s="71">
        <v>28.822808042492515</v>
      </c>
      <c r="AO39" s="72">
        <v>56.570078398131116</v>
      </c>
      <c r="AP39" s="77">
        <v>-24.436483661940912</v>
      </c>
      <c r="AQ39" s="8">
        <v>-30.389188676847823</v>
      </c>
      <c r="AR39" s="8">
        <v>-17.261572709268961</v>
      </c>
      <c r="AS39" s="8">
        <v>-32.754541370969207</v>
      </c>
      <c r="AT39" s="8">
        <v>-41.757326162487175</v>
      </c>
      <c r="AU39" s="8">
        <v>-22.208379939043965</v>
      </c>
      <c r="AV39" s="8">
        <v>-31.935437215187108</v>
      </c>
      <c r="AW39" s="8">
        <v>-53.235538952495098</v>
      </c>
      <c r="AX39" s="8">
        <v>-13.748744050887936</v>
      </c>
      <c r="AY39" s="164">
        <v>0</v>
      </c>
      <c r="AZ39" s="164">
        <v>0</v>
      </c>
      <c r="BA39" s="164">
        <v>0</v>
      </c>
      <c r="BB39" s="164">
        <v>-2.4285714285714306</v>
      </c>
      <c r="BC39" s="164">
        <v>-8.9206349206349245</v>
      </c>
      <c r="BD39" s="164">
        <v>1.8730158730158735</v>
      </c>
      <c r="BE39" s="164">
        <v>-12.571428571428569</v>
      </c>
      <c r="BF39" s="164">
        <v>-31.463785514205682</v>
      </c>
      <c r="BG39" s="164">
        <v>-0.56942777110843679</v>
      </c>
      <c r="BH39" s="24">
        <v>50.448513977654216</v>
      </c>
      <c r="BI39" s="24">
        <v>20.728677979853281</v>
      </c>
      <c r="BJ39" s="24">
        <v>28.822808042492515</v>
      </c>
      <c r="BK39" s="25">
        <v>49.551486022345799</v>
      </c>
      <c r="BL39" s="215" t="s">
        <v>556</v>
      </c>
      <c r="BN39" s="219">
        <v>0.61430980894846898</v>
      </c>
      <c r="BO39" s="219">
        <v>6.9754764743707609</v>
      </c>
      <c r="BP39" s="219">
        <v>20.6013396777577</v>
      </c>
      <c r="BQ39" s="219">
        <v>17.172558554310697</v>
      </c>
      <c r="BR39" s="219">
        <v>11.4731881511624</v>
      </c>
      <c r="BS39" s="226">
        <f>0.00614309808948469*100</f>
        <v>0.61430980894846898</v>
      </c>
      <c r="BT39" s="227">
        <f>0.0697547647437076*100</f>
        <v>6.9754764743707609</v>
      </c>
      <c r="BU39" s="227">
        <f>0.206013396777577*100</f>
        <v>20.6013396777577</v>
      </c>
      <c r="BV39" s="227">
        <f>0.171725585543107*100</f>
        <v>17.172558554310697</v>
      </c>
      <c r="BW39" s="228">
        <f>0.114731881511624*100</f>
        <v>11.4731881511624</v>
      </c>
      <c r="BX39" s="220" t="s">
        <v>220</v>
      </c>
      <c r="BY39" s="221" t="s">
        <v>220</v>
      </c>
      <c r="BZ39" s="221" t="s">
        <v>220</v>
      </c>
      <c r="CA39" s="221" t="s">
        <v>220</v>
      </c>
      <c r="CB39" s="222" t="s">
        <v>220</v>
      </c>
      <c r="CC39" s="223" t="s">
        <v>220</v>
      </c>
      <c r="CD39" s="224" t="s">
        <v>220</v>
      </c>
      <c r="CE39" s="224" t="s">
        <v>220</v>
      </c>
      <c r="CF39" s="224" t="s">
        <v>220</v>
      </c>
      <c r="CG39" s="225" t="s">
        <v>220</v>
      </c>
      <c r="CH39" s="220">
        <v>1.2035062750000001</v>
      </c>
      <c r="CI39" s="218">
        <v>4.7526897249999998</v>
      </c>
      <c r="CJ39" s="218">
        <v>13.008087379999999</v>
      </c>
      <c r="CK39" s="218">
        <v>10.6792827</v>
      </c>
      <c r="CL39" s="222">
        <v>7.0322663350000001</v>
      </c>
    </row>
    <row r="40" spans="1:309" ht="15" customHeight="1" x14ac:dyDescent="0.3">
      <c r="A40" s="211" t="s">
        <v>547</v>
      </c>
      <c r="B40" s="211" t="s">
        <v>577</v>
      </c>
      <c r="C40" s="211" t="s">
        <v>625</v>
      </c>
      <c r="D40" s="211" t="s">
        <v>626</v>
      </c>
      <c r="E40" s="205" t="s">
        <v>186</v>
      </c>
      <c r="F40" s="128" t="s">
        <v>1035</v>
      </c>
      <c r="G40" s="198" t="s">
        <v>211</v>
      </c>
      <c r="H40" s="198" t="s">
        <v>627</v>
      </c>
      <c r="I40" s="128" t="s">
        <v>201</v>
      </c>
      <c r="J40" s="154" t="s">
        <v>187</v>
      </c>
      <c r="K40" s="423" t="s">
        <v>187</v>
      </c>
      <c r="L40" s="199"/>
      <c r="M40" s="199" t="s">
        <v>201</v>
      </c>
      <c r="N40" s="199" t="s">
        <v>187</v>
      </c>
      <c r="O40" s="199"/>
      <c r="P40" s="128">
        <v>102270</v>
      </c>
      <c r="Q40" s="407" t="s">
        <v>1034</v>
      </c>
      <c r="R40" s="430">
        <v>10000</v>
      </c>
      <c r="S40" s="126">
        <v>29</v>
      </c>
      <c r="T40" s="164">
        <v>-9.2697247704600017</v>
      </c>
      <c r="U40" s="164">
        <v>-14.114634454388266</v>
      </c>
      <c r="V40" s="164">
        <v>-5.8129719368820219</v>
      </c>
      <c r="W40" s="164">
        <v>-16.952161261437809</v>
      </c>
      <c r="X40" s="164">
        <v>-26.949312970149634</v>
      </c>
      <c r="Y40" s="164">
        <v>-8.6346499213880179</v>
      </c>
      <c r="Z40" s="164">
        <v>-17.774501609559721</v>
      </c>
      <c r="AA40" s="164">
        <v>-35.958056088460609</v>
      </c>
      <c r="AB40" s="164">
        <v>-3.7563902561014118</v>
      </c>
      <c r="AC40" s="164">
        <v>0</v>
      </c>
      <c r="AD40" s="164">
        <v>0</v>
      </c>
      <c r="AE40" s="164">
        <v>0</v>
      </c>
      <c r="AF40" s="164">
        <v>-2.1428571428571388</v>
      </c>
      <c r="AG40" s="164">
        <v>-9.6380952380952323</v>
      </c>
      <c r="AH40" s="164">
        <v>2.330158730158729</v>
      </c>
      <c r="AI40" s="164">
        <v>-7.8571428571428612</v>
      </c>
      <c r="AJ40" s="164">
        <v>-25.408163265306129</v>
      </c>
      <c r="AK40" s="164">
        <v>3.7981859410430729</v>
      </c>
      <c r="AL40" s="71">
        <v>72.903937895419304</v>
      </c>
      <c r="AM40" s="71">
        <v>14.644731023888117</v>
      </c>
      <c r="AN40" s="71">
        <v>12.451331080692588</v>
      </c>
      <c r="AO40" s="72">
        <v>27.096062104580703</v>
      </c>
      <c r="AP40" s="77">
        <v>-8.1534441442533847</v>
      </c>
      <c r="AQ40" s="8">
        <v>-11.935488090009244</v>
      </c>
      <c r="AR40" s="8">
        <v>-5.1483251823836014</v>
      </c>
      <c r="AS40" s="8">
        <v>-14.752192144096284</v>
      </c>
      <c r="AT40" s="8">
        <v>-23.968858077061057</v>
      </c>
      <c r="AU40" s="8">
        <v>-7.313731160824176</v>
      </c>
      <c r="AV40" s="8">
        <v>-16.593036713209642</v>
      </c>
      <c r="AW40" s="8">
        <v>-34.561250299672352</v>
      </c>
      <c r="AX40" s="8">
        <v>-3.033413926534152</v>
      </c>
      <c r="AY40" s="164">
        <v>0</v>
      </c>
      <c r="AZ40" s="164">
        <v>0</v>
      </c>
      <c r="BA40" s="164">
        <v>0</v>
      </c>
      <c r="BB40" s="164">
        <v>-2.1428571428571388</v>
      </c>
      <c r="BC40" s="164">
        <v>-9.6380952380952323</v>
      </c>
      <c r="BD40" s="164">
        <v>2.330158730158729</v>
      </c>
      <c r="BE40" s="164">
        <v>-7.8571428571428612</v>
      </c>
      <c r="BF40" s="164">
        <v>-25.408163265306129</v>
      </c>
      <c r="BG40" s="164">
        <v>3.7981859410430729</v>
      </c>
      <c r="BH40" s="24">
        <v>78.607561532971388</v>
      </c>
      <c r="BI40" s="24">
        <v>8.9411073863360286</v>
      </c>
      <c r="BJ40" s="24">
        <v>12.451331080692588</v>
      </c>
      <c r="BK40" s="25">
        <v>21.392438467028619</v>
      </c>
      <c r="BL40" s="215" t="s">
        <v>556</v>
      </c>
      <c r="BN40" s="218">
        <v>0.19070520379349601</v>
      </c>
      <c r="BO40" s="218">
        <v>5.6927465304704796</v>
      </c>
      <c r="BP40" s="218">
        <v>8.9240562292735213</v>
      </c>
      <c r="BQ40" s="218">
        <v>8.3381059685839496</v>
      </c>
      <c r="BR40" s="218">
        <v>4.0894797757962005</v>
      </c>
      <c r="BS40" s="220">
        <f>0.00190705203793496*100</f>
        <v>0.19070520379349601</v>
      </c>
      <c r="BT40" s="221">
        <f>0.0569274653047048*100</f>
        <v>5.6927465304704796</v>
      </c>
      <c r="BU40" s="221">
        <f>0.0892405622927352*100</f>
        <v>8.9240562292735213</v>
      </c>
      <c r="BV40" s="221">
        <f>0.0833810596858395*100</f>
        <v>8.3381059685839496</v>
      </c>
      <c r="BW40" s="222">
        <f>0.040894797757962*100</f>
        <v>4.0894797757962005</v>
      </c>
      <c r="BX40" s="220">
        <v>3.2642648957052003E-2</v>
      </c>
      <c r="BY40" s="221">
        <v>5.3109585381041402</v>
      </c>
      <c r="BZ40" s="221">
        <v>7.3723617462529401</v>
      </c>
      <c r="CA40" s="221">
        <v>6.5467244172500703</v>
      </c>
      <c r="CB40" s="222">
        <v>3.6948931944191599</v>
      </c>
      <c r="CC40" s="223">
        <v>4.4967932000000002E-2</v>
      </c>
      <c r="CD40" s="224">
        <v>5.1930846150000001</v>
      </c>
      <c r="CE40" s="224">
        <v>7.2164992469999998</v>
      </c>
      <c r="CF40" s="224">
        <v>6.404372704</v>
      </c>
      <c r="CG40" s="225">
        <v>3.599569105</v>
      </c>
      <c r="CH40" s="229">
        <v>0.646754198</v>
      </c>
      <c r="CI40" s="230">
        <v>5.61934808</v>
      </c>
      <c r="CJ40" s="230">
        <v>8.6791756590000002</v>
      </c>
      <c r="CK40" s="230">
        <v>8.054427553</v>
      </c>
      <c r="CL40" s="231">
        <v>3.925310536</v>
      </c>
    </row>
    <row r="41" spans="1:309" ht="15" customHeight="1" x14ac:dyDescent="0.3">
      <c r="A41" s="211" t="s">
        <v>547</v>
      </c>
      <c r="B41" s="211" t="s">
        <v>577</v>
      </c>
      <c r="C41" s="211" t="s">
        <v>628</v>
      </c>
      <c r="D41" s="211" t="s">
        <v>629</v>
      </c>
      <c r="E41" s="205" t="s">
        <v>200</v>
      </c>
      <c r="F41" s="128" t="s">
        <v>1036</v>
      </c>
      <c r="G41" s="198" t="s">
        <v>211</v>
      </c>
      <c r="H41" s="198" t="s">
        <v>627</v>
      </c>
      <c r="I41" s="128" t="s">
        <v>187</v>
      </c>
      <c r="J41" s="154" t="s">
        <v>187</v>
      </c>
      <c r="K41" s="423" t="s">
        <v>187</v>
      </c>
      <c r="L41" s="199"/>
      <c r="M41" s="424" t="s">
        <v>187</v>
      </c>
      <c r="N41" s="424" t="s">
        <v>267</v>
      </c>
      <c r="O41" s="199"/>
      <c r="P41" s="398">
        <v>325900</v>
      </c>
      <c r="Q41" s="407">
        <v>668</v>
      </c>
      <c r="R41" s="430" t="s">
        <v>1001</v>
      </c>
      <c r="S41" s="126">
        <v>30</v>
      </c>
      <c r="T41" s="164">
        <v>-13.839255690246674</v>
      </c>
      <c r="U41" s="164">
        <v>-22.41085698791359</v>
      </c>
      <c r="V41" s="164">
        <v>-8.4639016672596767</v>
      </c>
      <c r="W41" s="164">
        <v>-23.901738901480158</v>
      </c>
      <c r="X41" s="164">
        <v>-38.243920056193978</v>
      </c>
      <c r="Y41" s="164">
        <v>-11.177469448455</v>
      </c>
      <c r="Z41" s="164">
        <v>-26.070417204065535</v>
      </c>
      <c r="AA41" s="164">
        <v>-47.411984661783571</v>
      </c>
      <c r="AB41" s="164">
        <v>-8.8516654757488595</v>
      </c>
      <c r="AC41" s="164">
        <v>0</v>
      </c>
      <c r="AD41" s="164">
        <v>0</v>
      </c>
      <c r="AE41" s="164">
        <v>0</v>
      </c>
      <c r="AF41" s="164">
        <v>-3.2857142857142918</v>
      </c>
      <c r="AG41" s="164">
        <v>-11.34453781512606</v>
      </c>
      <c r="AH41" s="164">
        <v>3.4873949579831844</v>
      </c>
      <c r="AI41" s="164">
        <v>-17.142857142857139</v>
      </c>
      <c r="AJ41" s="164">
        <v>-35.040816326530603</v>
      </c>
      <c r="AK41" s="164">
        <v>-3.9863945578231323</v>
      </c>
      <c r="AL41" s="71">
        <v>54.374244034134705</v>
      </c>
      <c r="AM41" s="71">
        <v>30.155506252676055</v>
      </c>
      <c r="AN41" s="71">
        <v>15.470249713189244</v>
      </c>
      <c r="AO41" s="72">
        <v>45.625755965865295</v>
      </c>
      <c r="AP41" s="77">
        <v>-11.855195770962467</v>
      </c>
      <c r="AQ41" s="8">
        <v>-18.452304675080313</v>
      </c>
      <c r="AR41" s="8">
        <v>-7.4545833654267994</v>
      </c>
      <c r="AS41" s="8">
        <v>-20.644327093700142</v>
      </c>
      <c r="AT41" s="8">
        <v>-33.061425151012401</v>
      </c>
      <c r="AU41" s="8">
        <v>-9.1873127691027747</v>
      </c>
      <c r="AV41" s="8">
        <v>-25.182032165580068</v>
      </c>
      <c r="AW41" s="8">
        <v>-45.491944870669585</v>
      </c>
      <c r="AX41" s="8">
        <v>-8.7409698796836182</v>
      </c>
      <c r="AY41" s="164">
        <v>0</v>
      </c>
      <c r="AZ41" s="164">
        <v>0</v>
      </c>
      <c r="BA41" s="164">
        <v>0</v>
      </c>
      <c r="BB41" s="164">
        <v>-3.2857142857142918</v>
      </c>
      <c r="BC41" s="164">
        <v>-11.34453781512606</v>
      </c>
      <c r="BD41" s="164">
        <v>3.4873949579831844</v>
      </c>
      <c r="BE41" s="164">
        <v>-17.142857142857139</v>
      </c>
      <c r="BF41" s="164">
        <v>-35.040816326530603</v>
      </c>
      <c r="BG41" s="164">
        <v>-3.9863945578231323</v>
      </c>
      <c r="BH41" s="24">
        <v>64.738736149798441</v>
      </c>
      <c r="BI41" s="24">
        <v>19.791014137012315</v>
      </c>
      <c r="BJ41" s="24">
        <v>15.470249713189244</v>
      </c>
      <c r="BK41" s="25">
        <v>35.261263850201559</v>
      </c>
      <c r="BL41" s="215" t="s">
        <v>556</v>
      </c>
      <c r="BN41" s="218">
        <v>0.19768462588507699</v>
      </c>
      <c r="BO41" s="218">
        <v>10.344003108200001</v>
      </c>
      <c r="BP41" s="218">
        <v>19.751890344756699</v>
      </c>
      <c r="BQ41" s="218">
        <v>13.143075097472799</v>
      </c>
      <c r="BR41" s="218">
        <v>2.2965923104474402</v>
      </c>
      <c r="BS41" s="220">
        <v>0.19768462588507699</v>
      </c>
      <c r="BT41" s="221">
        <v>10.344003108200001</v>
      </c>
      <c r="BU41" s="221">
        <v>19.751890344756699</v>
      </c>
      <c r="BV41" s="221">
        <v>13.143075097472799</v>
      </c>
      <c r="BW41" s="222">
        <v>2.2965923104474402</v>
      </c>
      <c r="BX41" s="220">
        <v>0.12593506309004099</v>
      </c>
      <c r="BY41" s="221">
        <v>3.7646845715550898</v>
      </c>
      <c r="BZ41" s="221">
        <v>10.2021214392211</v>
      </c>
      <c r="CA41" s="221">
        <v>6.4853052892493199</v>
      </c>
      <c r="CB41" s="222">
        <v>1.0957545892362099</v>
      </c>
      <c r="CC41" s="223">
        <v>0.14905550200000001</v>
      </c>
      <c r="CD41" s="224">
        <v>2.9337825080000002</v>
      </c>
      <c r="CE41" s="224">
        <v>7.8096525440000004</v>
      </c>
      <c r="CF41" s="224">
        <v>4.8926355060000004</v>
      </c>
      <c r="CG41" s="225">
        <v>0.812601346</v>
      </c>
      <c r="CH41" s="229">
        <v>0.32489794900000002</v>
      </c>
      <c r="CI41" s="230">
        <v>7.5240248770000004</v>
      </c>
      <c r="CJ41" s="230">
        <v>14.546808130000001</v>
      </c>
      <c r="CK41" s="230">
        <v>9.6934124260000001</v>
      </c>
      <c r="CL41" s="231">
        <v>1.656236585</v>
      </c>
    </row>
    <row r="42" spans="1:309" ht="15" customHeight="1" x14ac:dyDescent="0.3">
      <c r="A42" s="211" t="s">
        <v>547</v>
      </c>
      <c r="B42" s="211" t="s">
        <v>577</v>
      </c>
      <c r="C42" s="211" t="s">
        <v>630</v>
      </c>
      <c r="D42" s="211" t="s">
        <v>631</v>
      </c>
      <c r="E42" s="205" t="s">
        <v>186</v>
      </c>
      <c r="F42" s="128" t="s">
        <v>1037</v>
      </c>
      <c r="G42" s="198" t="s">
        <v>211</v>
      </c>
      <c r="H42" s="198" t="s">
        <v>632</v>
      </c>
      <c r="I42" s="128" t="s">
        <v>201</v>
      </c>
      <c r="J42" s="154" t="s">
        <v>187</v>
      </c>
      <c r="K42" s="423" t="s">
        <v>187</v>
      </c>
      <c r="L42" s="199"/>
      <c r="M42" s="199" t="s">
        <v>201</v>
      </c>
      <c r="N42" s="199" t="s">
        <v>187</v>
      </c>
      <c r="O42" s="199"/>
      <c r="P42" s="155">
        <v>83266</v>
      </c>
      <c r="Q42" s="136">
        <v>504</v>
      </c>
      <c r="R42" s="442" t="s">
        <v>1001</v>
      </c>
      <c r="S42" s="126">
        <v>31</v>
      </c>
      <c r="T42" s="164">
        <v>-33.994886606190008</v>
      </c>
      <c r="U42" s="164">
        <v>-49.136292741934085</v>
      </c>
      <c r="V42" s="164">
        <v>-17.18025218940474</v>
      </c>
      <c r="W42" s="164">
        <v>-36.015357823139446</v>
      </c>
      <c r="X42" s="164">
        <v>-59.710315501900908</v>
      </c>
      <c r="Y42" s="164">
        <v>-18.674083451689611</v>
      </c>
      <c r="Z42" s="164">
        <v>-30.167393582008728</v>
      </c>
      <c r="AA42" s="164">
        <v>-62.010301822336551</v>
      </c>
      <c r="AB42" s="164">
        <v>-8.4093995111070683</v>
      </c>
      <c r="AC42" s="164">
        <v>0</v>
      </c>
      <c r="AD42" s="164">
        <v>0</v>
      </c>
      <c r="AE42" s="164">
        <v>0</v>
      </c>
      <c r="AF42" s="164">
        <v>-2.75</v>
      </c>
      <c r="AG42" s="164">
        <v>-12.903594771241828</v>
      </c>
      <c r="AH42" s="164">
        <v>2.9174836601307135</v>
      </c>
      <c r="AI42" s="164">
        <v>-12.875</v>
      </c>
      <c r="AJ42" s="164">
        <v>-31.828479853479848</v>
      </c>
      <c r="AK42" s="164">
        <v>-1.7659035409035369</v>
      </c>
      <c r="AL42" s="71">
        <v>26.283270609041708</v>
      </c>
      <c r="AM42" s="71">
        <v>51.648409249666116</v>
      </c>
      <c r="AN42" s="71">
        <v>22.068320141292176</v>
      </c>
      <c r="AO42" s="72">
        <v>73.716729390958292</v>
      </c>
      <c r="AP42" s="77">
        <v>-26.462155010833897</v>
      </c>
      <c r="AQ42" s="8">
        <v>-36.960174350967954</v>
      </c>
      <c r="AR42" s="8">
        <v>-14.732553391286672</v>
      </c>
      <c r="AS42" s="8">
        <v>-28.904037785565492</v>
      </c>
      <c r="AT42" s="8">
        <v>-47.516129908643691</v>
      </c>
      <c r="AU42" s="8">
        <v>-14.867317177286949</v>
      </c>
      <c r="AV42" s="8">
        <v>-26.927792231558371</v>
      </c>
      <c r="AW42" s="8">
        <v>-54.41422517963349</v>
      </c>
      <c r="AX42" s="8">
        <v>-7.7202490620495041</v>
      </c>
      <c r="AY42" s="164">
        <v>0</v>
      </c>
      <c r="AZ42" s="164">
        <v>0</v>
      </c>
      <c r="BA42" s="164">
        <v>0</v>
      </c>
      <c r="BB42" s="164">
        <v>-2.75</v>
      </c>
      <c r="BC42" s="164">
        <v>-12.903594771241828</v>
      </c>
      <c r="BD42" s="164">
        <v>2.9174836601307135</v>
      </c>
      <c r="BE42" s="164">
        <v>-12.875</v>
      </c>
      <c r="BF42" s="164">
        <v>-31.828479853479848</v>
      </c>
      <c r="BG42" s="164">
        <v>-1.7659035409035369</v>
      </c>
      <c r="BH42" s="24">
        <v>47.353848498149716</v>
      </c>
      <c r="BI42" s="24">
        <v>30.577831360558111</v>
      </c>
      <c r="BJ42" s="24">
        <v>22.068320141292176</v>
      </c>
      <c r="BK42" s="25">
        <v>52.646151501850284</v>
      </c>
      <c r="BL42" s="215" t="s">
        <v>556</v>
      </c>
      <c r="BM42" s="163"/>
      <c r="BN42" s="218">
        <v>0.52374360814968901</v>
      </c>
      <c r="BO42" s="218">
        <v>20.960222084213601</v>
      </c>
      <c r="BP42" s="218">
        <v>30.417681923296399</v>
      </c>
      <c r="BQ42" s="218">
        <v>19.3674415428309</v>
      </c>
      <c r="BR42" s="218">
        <v>2.5852971822952502</v>
      </c>
      <c r="BS42" s="220">
        <v>0.52374360814968901</v>
      </c>
      <c r="BT42" s="221">
        <v>20.960222084213601</v>
      </c>
      <c r="BU42" s="221">
        <v>30.417681923296399</v>
      </c>
      <c r="BV42" s="221">
        <v>19.3674415428309</v>
      </c>
      <c r="BW42" s="222">
        <v>2.5852971822952502</v>
      </c>
      <c r="BX42" s="220">
        <v>0.27093560166571401</v>
      </c>
      <c r="BY42" s="221">
        <v>15.4321617898465</v>
      </c>
      <c r="BZ42" s="221">
        <v>26.758705610556198</v>
      </c>
      <c r="CA42" s="221">
        <v>17.2340160944585</v>
      </c>
      <c r="CB42" s="222">
        <v>2.2997420758053599</v>
      </c>
      <c r="CC42" s="223">
        <v>0.37433461899999998</v>
      </c>
      <c r="CD42" s="224">
        <v>14.7836859</v>
      </c>
      <c r="CE42" s="224">
        <v>25.488508370000002</v>
      </c>
      <c r="CF42" s="224">
        <v>16.454521209999999</v>
      </c>
      <c r="CG42" s="225">
        <v>2.186262696</v>
      </c>
      <c r="CH42" s="229">
        <v>1.2213554550000001</v>
      </c>
      <c r="CI42" s="230">
        <v>19.037248659999999</v>
      </c>
      <c r="CJ42" s="230">
        <v>27.509819759999999</v>
      </c>
      <c r="CK42" s="230">
        <v>17.336024559999998</v>
      </c>
      <c r="CL42" s="231">
        <v>2.3035253550000001</v>
      </c>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row>
    <row r="43" spans="1:309" ht="15" customHeight="1" x14ac:dyDescent="0.3">
      <c r="A43" s="211" t="s">
        <v>547</v>
      </c>
      <c r="B43" s="211" t="s">
        <v>633</v>
      </c>
      <c r="C43" s="211" t="s">
        <v>634</v>
      </c>
      <c r="D43" s="211" t="s">
        <v>635</v>
      </c>
      <c r="E43" s="205" t="s">
        <v>186</v>
      </c>
      <c r="F43" s="128" t="s">
        <v>1038</v>
      </c>
      <c r="G43" s="198" t="s">
        <v>211</v>
      </c>
      <c r="H43" s="198"/>
      <c r="I43" s="128" t="s">
        <v>187</v>
      </c>
      <c r="J43" s="154" t="s">
        <v>187</v>
      </c>
      <c r="K43" s="423" t="s">
        <v>187</v>
      </c>
      <c r="L43" s="199" t="s">
        <v>187</v>
      </c>
      <c r="M43" s="199"/>
      <c r="N43" s="199"/>
      <c r="O43" s="199"/>
      <c r="P43" s="398">
        <v>1489639</v>
      </c>
      <c r="Q43" s="407">
        <v>8380</v>
      </c>
      <c r="R43" s="430">
        <v>400000</v>
      </c>
      <c r="S43" s="126">
        <v>32</v>
      </c>
      <c r="T43" s="164">
        <v>-3.2930781584501574</v>
      </c>
      <c r="U43" s="164">
        <v>-5.3937272415908524</v>
      </c>
      <c r="V43" s="164">
        <v>-0.69812408376535018</v>
      </c>
      <c r="W43" s="164">
        <v>-10.158336387741556</v>
      </c>
      <c r="X43" s="164">
        <v>-21.237994078663263</v>
      </c>
      <c r="Y43" s="164">
        <v>-3.2377881666252506</v>
      </c>
      <c r="Z43" s="164">
        <v>-15.180962279955665</v>
      </c>
      <c r="AA43" s="164">
        <v>-32.969336307823625</v>
      </c>
      <c r="AB43" s="164">
        <v>0.509252528561845</v>
      </c>
      <c r="AC43" s="164">
        <v>0</v>
      </c>
      <c r="AD43" s="164">
        <v>0</v>
      </c>
      <c r="AE43" s="164">
        <v>0</v>
      </c>
      <c r="AF43" s="164">
        <v>-5</v>
      </c>
      <c r="AG43" s="164">
        <v>-15.092203548085905</v>
      </c>
      <c r="AH43" s="164">
        <v>0.6973622782446256</v>
      </c>
      <c r="AI43" s="164">
        <v>-13.125</v>
      </c>
      <c r="AJ43" s="164">
        <v>-29.49404761904762</v>
      </c>
      <c r="AK43" s="164">
        <v>2.2916666666666714</v>
      </c>
      <c r="AL43" s="71">
        <v>84.783043160030928</v>
      </c>
      <c r="AM43" s="71">
        <v>9.1223006613468485</v>
      </c>
      <c r="AN43" s="71">
        <v>6.0946561786222224</v>
      </c>
      <c r="AO43" s="72">
        <v>15.216956839969072</v>
      </c>
      <c r="AP43" s="77">
        <v>-2.9904806335038927</v>
      </c>
      <c r="AQ43" s="8">
        <v>-4.6649146564445942</v>
      </c>
      <c r="AR43" s="8">
        <v>-0.86785171805850325</v>
      </c>
      <c r="AS43" s="8">
        <v>-9.654007179497782</v>
      </c>
      <c r="AT43" s="8">
        <v>-20.586274541586349</v>
      </c>
      <c r="AU43" s="8">
        <v>-2.9114951741170501</v>
      </c>
      <c r="AV43" s="8">
        <v>-15.019576933317651</v>
      </c>
      <c r="AW43" s="8">
        <v>-32.670298753759084</v>
      </c>
      <c r="AX43" s="8">
        <v>0.63096962823212266</v>
      </c>
      <c r="AY43" s="164">
        <v>0</v>
      </c>
      <c r="AZ43" s="164">
        <v>0</v>
      </c>
      <c r="BA43" s="164">
        <v>0</v>
      </c>
      <c r="BB43" s="164">
        <v>-5</v>
      </c>
      <c r="BC43" s="164">
        <v>-15.092203548085905</v>
      </c>
      <c r="BD43" s="164">
        <v>0.6973622782446256</v>
      </c>
      <c r="BE43" s="164">
        <v>-13.125</v>
      </c>
      <c r="BF43" s="164">
        <v>-29.49404761904762</v>
      </c>
      <c r="BG43" s="164">
        <v>2.2916666666666714</v>
      </c>
      <c r="BH43" s="24">
        <v>88.010750092791</v>
      </c>
      <c r="BI43" s="24">
        <v>5.894593728586786</v>
      </c>
      <c r="BJ43" s="24">
        <v>6.0946561786222224</v>
      </c>
      <c r="BK43" s="25">
        <v>11.989249907209008</v>
      </c>
      <c r="BL43" s="216" t="s">
        <v>636</v>
      </c>
      <c r="BM43" s="163" t="s">
        <v>688</v>
      </c>
      <c r="BN43" s="150">
        <v>0.54243914100000001</v>
      </c>
      <c r="BO43" s="150">
        <v>3.2101985869999998</v>
      </c>
      <c r="BP43" s="150">
        <v>5.862619145</v>
      </c>
      <c r="BQ43" s="150">
        <v>4.3507536289999997</v>
      </c>
      <c r="BR43" s="150">
        <v>1.710842749</v>
      </c>
      <c r="BS43" s="232">
        <f>0.00132387124689628*100</f>
        <v>0.13238712468962799</v>
      </c>
      <c r="BT43" s="233">
        <f>0.0110135308803013*100</f>
        <v>1.1013530880301299</v>
      </c>
      <c r="BU43" s="233">
        <f>0.013956258712083*100</f>
        <v>1.3956258712082998</v>
      </c>
      <c r="BV43" s="233">
        <f>0.00864074355293252*100</f>
        <v>0.86407435529325205</v>
      </c>
      <c r="BW43" s="234">
        <f>0.00336036313211884*100</f>
        <v>0.33603631321188399</v>
      </c>
      <c r="BX43" s="235">
        <v>0.391149489432492</v>
      </c>
      <c r="BY43" s="236">
        <v>9.6069350535149596</v>
      </c>
      <c r="BZ43" s="236">
        <v>18.7772745765742</v>
      </c>
      <c r="CA43" s="236">
        <v>13.4926637049021</v>
      </c>
      <c r="CB43" s="237">
        <v>4.3896902190840397</v>
      </c>
      <c r="CC43" s="238">
        <v>0.63981623399999998</v>
      </c>
      <c r="CD43" s="239">
        <v>5.9440458639999996</v>
      </c>
      <c r="CE43" s="239">
        <v>11.50855194</v>
      </c>
      <c r="CF43" s="239">
        <v>8.2016546780000006</v>
      </c>
      <c r="CG43" s="240">
        <v>2.520513888</v>
      </c>
      <c r="CH43" s="235">
        <f>0.00244955397180483*100</f>
        <v>0.24495539718048298</v>
      </c>
      <c r="CI43" s="241">
        <f>0.00497436258512132*100</f>
        <v>0.49743625851213197</v>
      </c>
      <c r="CJ43" s="241">
        <f>0.00541466963373629*100</f>
        <v>0.54146696337362898</v>
      </c>
      <c r="CK43" s="241">
        <f>0.00321399216172775*100</f>
        <v>0.321399216172775</v>
      </c>
      <c r="CL43" s="237">
        <f>0.00123319395003468*100</f>
        <v>0.12331939500346802</v>
      </c>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J43" s="82"/>
      <c r="JK43" s="82"/>
      <c r="JL43" s="82"/>
      <c r="JM43" s="82"/>
      <c r="JN43" s="82"/>
      <c r="JO43" s="82"/>
      <c r="JP43" s="82"/>
    </row>
    <row r="44" spans="1:309" ht="15" customHeight="1" x14ac:dyDescent="0.3">
      <c r="A44" t="s">
        <v>547</v>
      </c>
      <c r="B44" s="67" t="s">
        <v>577</v>
      </c>
      <c r="C44" s="83" t="s">
        <v>676</v>
      </c>
      <c r="D44" s="83" t="s">
        <v>677</v>
      </c>
      <c r="E44" s="205" t="s">
        <v>186</v>
      </c>
      <c r="F44" s="153" t="s">
        <v>1048</v>
      </c>
      <c r="G44" s="154" t="s">
        <v>211</v>
      </c>
      <c r="H44" s="198"/>
      <c r="I44" s="153"/>
      <c r="J44" s="154" t="s">
        <v>188</v>
      </c>
      <c r="K44" s="423" t="s">
        <v>188</v>
      </c>
      <c r="L44" s="199"/>
      <c r="M44" s="199"/>
      <c r="N44" s="199"/>
      <c r="O44" s="199"/>
      <c r="S44" s="126"/>
      <c r="T44" s="208"/>
      <c r="U44" s="208"/>
      <c r="V44" s="208"/>
      <c r="W44" s="208"/>
      <c r="X44" s="208"/>
      <c r="Y44" s="208"/>
      <c r="Z44" s="208"/>
      <c r="AA44" s="208"/>
      <c r="AB44" s="208"/>
      <c r="AC44" s="208"/>
      <c r="AD44" s="208"/>
      <c r="AE44" s="208"/>
      <c r="AF44" s="208"/>
      <c r="AG44" s="208"/>
      <c r="AH44" s="208"/>
      <c r="AI44" s="208"/>
      <c r="AJ44" s="208"/>
      <c r="AK44" s="208"/>
      <c r="AL44" s="71">
        <v>69.210968426336876</v>
      </c>
      <c r="AM44" s="71">
        <v>17.630564360804392</v>
      </c>
      <c r="AN44" s="71">
        <v>13.158467212858744</v>
      </c>
      <c r="AO44" s="72">
        <v>30.789031573663138</v>
      </c>
      <c r="AP44" s="208"/>
      <c r="AQ44" s="208"/>
      <c r="AR44" s="208"/>
      <c r="AS44" s="208"/>
      <c r="AT44" s="208"/>
      <c r="AU44" s="208"/>
      <c r="AV44" s="208"/>
      <c r="AW44" s="208"/>
      <c r="AX44" s="208"/>
      <c r="AY44" s="208"/>
      <c r="AZ44" s="208"/>
      <c r="BA44" s="208"/>
      <c r="BB44" s="208"/>
      <c r="BC44" s="208"/>
      <c r="BD44" s="208"/>
      <c r="BE44" s="208"/>
      <c r="BF44" s="208"/>
      <c r="BG44" s="208"/>
      <c r="BH44" s="24">
        <v>75.414552822741584</v>
      </c>
      <c r="BI44" s="24">
        <v>11.426979964399678</v>
      </c>
      <c r="BJ44" s="24">
        <v>13.158467212858744</v>
      </c>
      <c r="BK44" s="25">
        <v>24.585447177258423</v>
      </c>
      <c r="BL44" s="215" t="s">
        <v>552</v>
      </c>
      <c r="BN44" s="218">
        <v>0.29758070738564801</v>
      </c>
      <c r="BO44" s="218">
        <v>6.1851237260746297</v>
      </c>
      <c r="BP44" s="218">
        <v>11.3929754765888</v>
      </c>
      <c r="BQ44" s="218">
        <v>9.0739920246909396</v>
      </c>
      <c r="BR44" s="218">
        <v>4.04531812835467</v>
      </c>
      <c r="BS44" s="220" t="s">
        <v>220</v>
      </c>
      <c r="BT44" s="221" t="s">
        <v>220</v>
      </c>
      <c r="BU44" s="221" t="s">
        <v>220</v>
      </c>
      <c r="BV44" s="221" t="s">
        <v>220</v>
      </c>
      <c r="BW44" s="222" t="s">
        <v>220</v>
      </c>
      <c r="BX44" s="220">
        <v>0.29758070738564801</v>
      </c>
      <c r="BY44" s="221">
        <v>6.1851237260746297</v>
      </c>
      <c r="BZ44" s="221">
        <v>11.3929754765888</v>
      </c>
      <c r="CA44" s="221">
        <v>9.0739920246909396</v>
      </c>
      <c r="CB44" s="222">
        <v>4.04531812835467</v>
      </c>
      <c r="CC44" s="223">
        <v>0.656004853</v>
      </c>
      <c r="CD44" s="224">
        <v>4.8102061200000001</v>
      </c>
      <c r="CE44" s="224">
        <v>8.5776833240000006</v>
      </c>
      <c r="CF44" s="224">
        <v>6.7243765890000002</v>
      </c>
      <c r="CG44" s="225">
        <v>2.896377582</v>
      </c>
      <c r="CH44" s="26" t="s">
        <v>220</v>
      </c>
      <c r="CI44" s="8" t="s">
        <v>220</v>
      </c>
      <c r="CJ44" s="8" t="s">
        <v>220</v>
      </c>
      <c r="CK44" s="8" t="s">
        <v>220</v>
      </c>
      <c r="CL44" s="68" t="s">
        <v>220</v>
      </c>
    </row>
    <row r="45" spans="1:309" ht="15" customHeight="1" x14ac:dyDescent="0.3">
      <c r="A45" t="s">
        <v>547</v>
      </c>
      <c r="B45" t="s">
        <v>577</v>
      </c>
      <c r="C45" s="80" t="s">
        <v>637</v>
      </c>
      <c r="D45" s="80" t="s">
        <v>638</v>
      </c>
      <c r="E45" s="253" t="s">
        <v>186</v>
      </c>
      <c r="F45" s="128" t="s">
        <v>1039</v>
      </c>
      <c r="G45" s="198" t="s">
        <v>211</v>
      </c>
      <c r="H45" s="198"/>
      <c r="I45" s="153"/>
      <c r="J45" s="154" t="s">
        <v>188</v>
      </c>
      <c r="K45" s="423" t="s">
        <v>188</v>
      </c>
      <c r="L45" s="199"/>
      <c r="M45" s="199"/>
      <c r="N45" s="199"/>
      <c r="O45" s="199"/>
      <c r="Q45" s="424" t="s">
        <v>999</v>
      </c>
      <c r="R45" s="429" t="s">
        <v>999</v>
      </c>
      <c r="S45" s="126">
        <v>33</v>
      </c>
      <c r="T45" s="164">
        <v>-21.232383272523009</v>
      </c>
      <c r="U45" s="164">
        <v>-28.15950693952081</v>
      </c>
      <c r="V45" s="164">
        <v>-15.180117511157164</v>
      </c>
      <c r="W45" s="164">
        <v>-24.574519141445776</v>
      </c>
      <c r="X45" s="164">
        <v>-35.806671242254183</v>
      </c>
      <c r="Y45" s="164">
        <v>-14.210334427145114</v>
      </c>
      <c r="Z45" s="164">
        <v>-18.941188382007212</v>
      </c>
      <c r="AA45" s="164">
        <v>-36.281120529720503</v>
      </c>
      <c r="AB45" s="164">
        <v>-4.7122179630850098</v>
      </c>
      <c r="AC45" s="164">
        <v>0</v>
      </c>
      <c r="AD45" s="164">
        <v>0</v>
      </c>
      <c r="AE45" s="164">
        <v>0</v>
      </c>
      <c r="AF45" s="164">
        <v>-1.2857142857142918</v>
      </c>
      <c r="AG45" s="164">
        <v>-10.793650793650798</v>
      </c>
      <c r="AH45" s="164">
        <v>5.1587301587301511</v>
      </c>
      <c r="AI45" s="164">
        <v>-7.1428571428571388</v>
      </c>
      <c r="AJ45" s="164">
        <v>-22.777777777777771</v>
      </c>
      <c r="AK45" s="164">
        <v>4.9206349206349245</v>
      </c>
      <c r="AL45" s="71">
        <v>64.017551717559144</v>
      </c>
      <c r="AM45" s="71">
        <v>20.947950148708721</v>
      </c>
      <c r="AN45" s="71">
        <v>15.034498133732141</v>
      </c>
      <c r="AO45" s="72">
        <v>35.982448282440863</v>
      </c>
      <c r="AP45" s="77">
        <v>-18.297454430101084</v>
      </c>
      <c r="AQ45" s="8">
        <v>-23.502881901160578</v>
      </c>
      <c r="AR45" s="8">
        <v>-13.580710016986444</v>
      </c>
      <c r="AS45" s="8">
        <v>-20.983093057955784</v>
      </c>
      <c r="AT45" s="8">
        <v>-31.562588031727756</v>
      </c>
      <c r="AU45" s="8">
        <v>-11.573915857392635</v>
      </c>
      <c r="AV45" s="8">
        <v>-17.386834620066651</v>
      </c>
      <c r="AW45" s="8">
        <v>-34.300441995452374</v>
      </c>
      <c r="AX45" s="8">
        <v>-3.4632794675890466</v>
      </c>
      <c r="AY45" s="164">
        <v>0</v>
      </c>
      <c r="AZ45" s="164">
        <v>0</v>
      </c>
      <c r="BA45" s="164">
        <v>0</v>
      </c>
      <c r="BB45" s="164">
        <v>-1.2857142857142918</v>
      </c>
      <c r="BC45" s="164">
        <v>-10.793650793650798</v>
      </c>
      <c r="BD45" s="164">
        <v>5.1587301587301511</v>
      </c>
      <c r="BE45" s="164">
        <v>-7.1428571428571388</v>
      </c>
      <c r="BF45" s="164">
        <v>-22.777777777777771</v>
      </c>
      <c r="BG45" s="164">
        <v>4.9206349206349245</v>
      </c>
      <c r="BH45" s="24">
        <v>70.775611552083319</v>
      </c>
      <c r="BI45" s="24">
        <v>14.189890314184538</v>
      </c>
      <c r="BJ45" s="24">
        <v>15.034498133732141</v>
      </c>
      <c r="BK45" s="25">
        <v>29.224388447916681</v>
      </c>
      <c r="BL45" s="215" t="s">
        <v>552</v>
      </c>
      <c r="BN45" s="218">
        <v>0.289078224466157</v>
      </c>
      <c r="BO45" s="218">
        <v>6.7385237551461801</v>
      </c>
      <c r="BP45" s="218">
        <v>14.1488704312106</v>
      </c>
      <c r="BQ45" s="218">
        <v>10.5254635203414</v>
      </c>
      <c r="BR45" s="218">
        <v>4.46557315312835</v>
      </c>
      <c r="BS45" s="220" t="s">
        <v>220</v>
      </c>
      <c r="BT45" s="221" t="s">
        <v>220</v>
      </c>
      <c r="BU45" s="221" t="s">
        <v>220</v>
      </c>
      <c r="BV45" s="221" t="s">
        <v>220</v>
      </c>
      <c r="BW45" s="222" t="s">
        <v>220</v>
      </c>
      <c r="BX45" s="220">
        <v>0.289078224466157</v>
      </c>
      <c r="BY45" s="221">
        <v>6.7385237551461801</v>
      </c>
      <c r="BZ45" s="221">
        <v>14.1488704312106</v>
      </c>
      <c r="CA45" s="221">
        <v>10.5254635203414</v>
      </c>
      <c r="CB45" s="222">
        <v>4.46557315312835</v>
      </c>
      <c r="CC45" s="223">
        <v>0.46349180400000001</v>
      </c>
      <c r="CD45" s="224">
        <v>4.5526335360000001</v>
      </c>
      <c r="CE45" s="224">
        <v>8.7703916500000005</v>
      </c>
      <c r="CF45" s="224">
        <v>6.8468257039999996</v>
      </c>
      <c r="CG45" s="225">
        <v>2.8371141720000002</v>
      </c>
      <c r="CH45" s="229" t="s">
        <v>220</v>
      </c>
      <c r="CI45" s="230" t="s">
        <v>220</v>
      </c>
      <c r="CJ45" s="230" t="s">
        <v>220</v>
      </c>
      <c r="CK45" s="230" t="s">
        <v>220</v>
      </c>
      <c r="CL45" s="231" t="s">
        <v>220</v>
      </c>
    </row>
    <row r="46" spans="1:309" ht="15" customHeight="1" x14ac:dyDescent="0.3">
      <c r="A46" t="s">
        <v>547</v>
      </c>
      <c r="B46" s="67" t="s">
        <v>639</v>
      </c>
      <c r="C46" t="s">
        <v>640</v>
      </c>
      <c r="D46" t="s">
        <v>641</v>
      </c>
      <c r="E46" s="205" t="s">
        <v>186</v>
      </c>
      <c r="F46" s="128" t="s">
        <v>1040</v>
      </c>
      <c r="G46" s="198" t="s">
        <v>211</v>
      </c>
      <c r="H46" s="198"/>
      <c r="I46" s="153"/>
      <c r="J46" s="154" t="s">
        <v>188</v>
      </c>
      <c r="K46" s="423" t="s">
        <v>188</v>
      </c>
      <c r="L46" s="199"/>
      <c r="M46" s="199"/>
      <c r="N46" s="199"/>
      <c r="O46" s="199"/>
      <c r="Q46" s="424" t="s">
        <v>999</v>
      </c>
      <c r="R46" s="429" t="s">
        <v>999</v>
      </c>
      <c r="S46" s="126">
        <v>34</v>
      </c>
      <c r="T46" s="164">
        <v>-2.4804689797992268</v>
      </c>
      <c r="U46" s="164">
        <v>-5.8360220086257328</v>
      </c>
      <c r="V46" s="164">
        <v>1.3785434040922979</v>
      </c>
      <c r="W46" s="164">
        <v>-7.4911276572864836</v>
      </c>
      <c r="X46" s="164">
        <v>-15.867073204858528</v>
      </c>
      <c r="Y46" s="164">
        <v>0.40671580265060925</v>
      </c>
      <c r="Z46" s="164">
        <v>-8.730468979799241</v>
      </c>
      <c r="AA46" s="164">
        <v>-21.241680312778215</v>
      </c>
      <c r="AB46" s="164">
        <v>3.9042282199228566</v>
      </c>
      <c r="AC46" s="164">
        <v>0</v>
      </c>
      <c r="AD46" s="164">
        <v>0</v>
      </c>
      <c r="AE46" s="164">
        <v>0</v>
      </c>
      <c r="AF46" s="164">
        <v>-0.625</v>
      </c>
      <c r="AG46" s="164">
        <v>-6.5563725490196134</v>
      </c>
      <c r="AH46" s="164">
        <v>3.4681372549019613</v>
      </c>
      <c r="AI46" s="164">
        <v>-6.25</v>
      </c>
      <c r="AJ46" s="164">
        <v>-16.764705882352942</v>
      </c>
      <c r="AK46" s="164">
        <v>5.2567693744164359</v>
      </c>
      <c r="AL46" s="71">
        <v>70.478342073340698</v>
      </c>
      <c r="AM46" s="71">
        <v>17.956126915716137</v>
      </c>
      <c r="AN46" s="71">
        <v>11.565531010943166</v>
      </c>
      <c r="AO46" s="72">
        <v>29.521657926659302</v>
      </c>
      <c r="AP46" s="77">
        <v>-2.2556337234887422</v>
      </c>
      <c r="AQ46" s="8">
        <v>-5.0068676506976715</v>
      </c>
      <c r="AR46" s="8">
        <v>1.0240412539308039</v>
      </c>
      <c r="AS46" s="8">
        <v>-6.5018525295203631</v>
      </c>
      <c r="AT46" s="8">
        <v>-14.610388973928735</v>
      </c>
      <c r="AU46" s="8">
        <v>0.75461214882963645</v>
      </c>
      <c r="AV46" s="8">
        <v>-8.5056337234887422</v>
      </c>
      <c r="AW46" s="8">
        <v>-20.617662759666246</v>
      </c>
      <c r="AX46" s="8">
        <v>4.0356095438329191</v>
      </c>
      <c r="AY46" s="164">
        <v>0</v>
      </c>
      <c r="AZ46" s="164">
        <v>0</v>
      </c>
      <c r="BA46" s="164">
        <v>0</v>
      </c>
      <c r="BB46" s="164">
        <v>-0.625</v>
      </c>
      <c r="BC46" s="164">
        <v>-6.5563725490196134</v>
      </c>
      <c r="BD46" s="164">
        <v>3.4681372549019613</v>
      </c>
      <c r="BE46" s="164">
        <v>-6.25</v>
      </c>
      <c r="BF46" s="164">
        <v>-16.764705882352942</v>
      </c>
      <c r="BG46" s="164">
        <v>5.2567693744164359</v>
      </c>
      <c r="BH46" s="24">
        <v>76.4739489082868</v>
      </c>
      <c r="BI46" s="24">
        <v>11.960520080770038</v>
      </c>
      <c r="BJ46" s="24">
        <v>11.565531010943166</v>
      </c>
      <c r="BK46" s="25">
        <v>23.526051091713207</v>
      </c>
      <c r="BL46" s="215" t="s">
        <v>552</v>
      </c>
      <c r="BN46" s="218">
        <v>0.19688141337013201</v>
      </c>
      <c r="BO46" s="218">
        <v>5.9838025994693398</v>
      </c>
      <c r="BP46" s="218">
        <v>11.9369720397886</v>
      </c>
      <c r="BQ46" s="218">
        <v>8.7182341002556196</v>
      </c>
      <c r="BR46" s="218">
        <v>2.82452652976944</v>
      </c>
      <c r="BS46" s="220" t="s">
        <v>220</v>
      </c>
      <c r="BT46" s="221" t="s">
        <v>220</v>
      </c>
      <c r="BU46" s="221" t="s">
        <v>220</v>
      </c>
      <c r="BV46" s="221" t="s">
        <v>220</v>
      </c>
      <c r="BW46" s="222" t="s">
        <v>220</v>
      </c>
      <c r="BX46" s="220">
        <v>0.19688141337013201</v>
      </c>
      <c r="BY46" s="221">
        <v>5.9838025994693398</v>
      </c>
      <c r="BZ46" s="221">
        <v>11.9369720397886</v>
      </c>
      <c r="CA46" s="221">
        <v>8.7182341002556196</v>
      </c>
      <c r="CB46" s="222">
        <v>2.82452652976944</v>
      </c>
      <c r="CC46" s="223">
        <v>0.40423145900000002</v>
      </c>
      <c r="CD46" s="224">
        <v>4.8095369330000004</v>
      </c>
      <c r="CE46" s="224">
        <v>9.5246150620000005</v>
      </c>
      <c r="CF46" s="224">
        <v>6.8718496580000004</v>
      </c>
      <c r="CG46" s="225">
        <v>2.10417773</v>
      </c>
      <c r="CH46" s="26" t="s">
        <v>220</v>
      </c>
      <c r="CI46" s="8" t="s">
        <v>220</v>
      </c>
      <c r="CJ46" s="8" t="s">
        <v>220</v>
      </c>
      <c r="CK46" s="8" t="s">
        <v>220</v>
      </c>
      <c r="CL46" s="68" t="s">
        <v>220</v>
      </c>
    </row>
    <row r="47" spans="1:309" ht="15" customHeight="1" x14ac:dyDescent="0.3">
      <c r="A47" t="s">
        <v>547</v>
      </c>
      <c r="B47" s="78" t="s">
        <v>614</v>
      </c>
      <c r="C47" s="80" t="s">
        <v>642</v>
      </c>
      <c r="D47" s="80" t="s">
        <v>643</v>
      </c>
      <c r="E47" s="253" t="s">
        <v>186</v>
      </c>
      <c r="F47" s="128" t="s">
        <v>1026</v>
      </c>
      <c r="G47" s="198" t="s">
        <v>211</v>
      </c>
      <c r="H47" s="198"/>
      <c r="I47" s="153"/>
      <c r="J47" s="154" t="s">
        <v>188</v>
      </c>
      <c r="K47" s="423" t="s">
        <v>188</v>
      </c>
      <c r="L47" s="199"/>
      <c r="M47" s="199"/>
      <c r="N47" s="199"/>
      <c r="O47" s="199"/>
      <c r="Q47" s="424">
        <v>2912</v>
      </c>
      <c r="R47" s="429" t="s">
        <v>999</v>
      </c>
      <c r="S47" s="126">
        <v>35</v>
      </c>
      <c r="T47" s="164">
        <v>-9.156540015547975</v>
      </c>
      <c r="U47" s="164">
        <v>-16.493233446680208</v>
      </c>
      <c r="V47" s="164">
        <v>-0.99647679575292614</v>
      </c>
      <c r="W47" s="164">
        <v>-14.319124267949562</v>
      </c>
      <c r="X47" s="164">
        <v>-24.019169807795137</v>
      </c>
      <c r="Y47" s="164">
        <v>-4.9867485950587707</v>
      </c>
      <c r="Z47" s="164">
        <v>-15.197568657120144</v>
      </c>
      <c r="AA47" s="164">
        <v>-30.355865535634805</v>
      </c>
      <c r="AB47" s="164">
        <v>-0.60782948953897176</v>
      </c>
      <c r="AC47" s="164">
        <v>0</v>
      </c>
      <c r="AD47" s="164">
        <v>0</v>
      </c>
      <c r="AE47" s="164">
        <v>0</v>
      </c>
      <c r="AF47" s="164">
        <v>-1.5</v>
      </c>
      <c r="AG47" s="164">
        <v>-6.4910130718954235</v>
      </c>
      <c r="AH47" s="164">
        <v>3.3619281045751563</v>
      </c>
      <c r="AI47" s="164">
        <v>-8.375</v>
      </c>
      <c r="AJ47" s="164">
        <v>-20.762928248222366</v>
      </c>
      <c r="AK47" s="164">
        <v>4.2544440853264405</v>
      </c>
      <c r="AL47" s="71">
        <v>58.394331010797352</v>
      </c>
      <c r="AM47" s="71">
        <v>24.92385119808279</v>
      </c>
      <c r="AN47" s="71">
        <v>16.681817791119862</v>
      </c>
      <c r="AO47" s="72">
        <v>41.605668989202655</v>
      </c>
      <c r="AP47" s="77">
        <v>-8.4837695683904712</v>
      </c>
      <c r="AQ47" s="8">
        <v>-14.568388582248716</v>
      </c>
      <c r="AR47" s="8">
        <v>-1.8650668307155769</v>
      </c>
      <c r="AS47" s="8">
        <v>-13.025334946492833</v>
      </c>
      <c r="AT47" s="8">
        <v>-22.050474259983588</v>
      </c>
      <c r="AU47" s="8">
        <v>-4.4282471670378243</v>
      </c>
      <c r="AV47" s="8">
        <v>-14.649001984822505</v>
      </c>
      <c r="AW47" s="8">
        <v>-29.326601351359386</v>
      </c>
      <c r="AX47" s="8">
        <v>-0.25816013565511753</v>
      </c>
      <c r="AY47" s="164">
        <v>0</v>
      </c>
      <c r="AZ47" s="164">
        <v>0</v>
      </c>
      <c r="BA47" s="164">
        <v>0</v>
      </c>
      <c r="BB47" s="164">
        <v>-1.5</v>
      </c>
      <c r="BC47" s="164">
        <v>-6.4910130718954235</v>
      </c>
      <c r="BD47" s="164">
        <v>3.3619281045751563</v>
      </c>
      <c r="BE47" s="164">
        <v>-8.375</v>
      </c>
      <c r="BF47" s="164">
        <v>-20.762928248222366</v>
      </c>
      <c r="BG47" s="164">
        <v>4.2544440853264405</v>
      </c>
      <c r="BH47" s="24">
        <v>66.674582668120422</v>
      </c>
      <c r="BI47" s="24">
        <v>16.643599540759709</v>
      </c>
      <c r="BJ47" s="24">
        <v>16.681817791119862</v>
      </c>
      <c r="BK47" s="25">
        <v>33.325417331879571</v>
      </c>
      <c r="BL47" s="215" t="s">
        <v>552</v>
      </c>
      <c r="BN47" s="218">
        <v>0.28098134239401001</v>
      </c>
      <c r="BO47" s="218">
        <v>8.2569856950627294</v>
      </c>
      <c r="BP47" s="218">
        <v>16.5968341313474</v>
      </c>
      <c r="BQ47" s="218">
        <v>12.3646751248854</v>
      </c>
      <c r="BR47" s="218">
        <v>4.2702698706692503</v>
      </c>
      <c r="BS47" s="220" t="s">
        <v>220</v>
      </c>
      <c r="BT47" s="221" t="s">
        <v>220</v>
      </c>
      <c r="BU47" s="221" t="s">
        <v>220</v>
      </c>
      <c r="BV47" s="221" t="s">
        <v>220</v>
      </c>
      <c r="BW47" s="222" t="s">
        <v>220</v>
      </c>
      <c r="BX47" s="220">
        <v>0.28098134239401001</v>
      </c>
      <c r="BY47" s="221">
        <v>8.2569856950627294</v>
      </c>
      <c r="BZ47" s="221">
        <v>16.5968341313474</v>
      </c>
      <c r="CA47" s="221">
        <v>12.3646751248854</v>
      </c>
      <c r="CB47" s="222">
        <v>4.2702698706692503</v>
      </c>
      <c r="CC47" s="223">
        <v>0.55108599300000005</v>
      </c>
      <c r="CD47" s="224">
        <v>6.1551493439999998</v>
      </c>
      <c r="CE47" s="224">
        <v>12.283617489999999</v>
      </c>
      <c r="CF47" s="224">
        <v>9.0144479759999996</v>
      </c>
      <c r="CG47" s="225">
        <v>2.947404422</v>
      </c>
      <c r="CH47" s="26" t="s">
        <v>220</v>
      </c>
      <c r="CI47" s="8" t="s">
        <v>220</v>
      </c>
      <c r="CJ47" s="8" t="s">
        <v>220</v>
      </c>
      <c r="CK47" s="8" t="s">
        <v>220</v>
      </c>
      <c r="CL47" s="68" t="s">
        <v>220</v>
      </c>
    </row>
    <row r="48" spans="1:309" ht="15" customHeight="1" x14ac:dyDescent="0.3">
      <c r="A48" t="s">
        <v>547</v>
      </c>
      <c r="B48" s="67" t="s">
        <v>574</v>
      </c>
      <c r="C48" s="67" t="s">
        <v>644</v>
      </c>
      <c r="D48" s="67" t="s">
        <v>645</v>
      </c>
      <c r="E48" s="253" t="s">
        <v>186</v>
      </c>
      <c r="F48" s="128" t="s">
        <v>1026</v>
      </c>
      <c r="G48" s="198" t="s">
        <v>211</v>
      </c>
      <c r="H48" s="198"/>
      <c r="I48" s="153"/>
      <c r="J48" s="154" t="s">
        <v>188</v>
      </c>
      <c r="K48" s="423" t="s">
        <v>188</v>
      </c>
      <c r="L48" s="199"/>
      <c r="M48" s="199"/>
      <c r="N48" s="199"/>
      <c r="Q48" s="424" t="s">
        <v>999</v>
      </c>
      <c r="R48" s="429" t="s">
        <v>999</v>
      </c>
      <c r="S48" s="126">
        <v>36</v>
      </c>
      <c r="T48" s="164">
        <v>-12.826446507094573</v>
      </c>
      <c r="U48" s="164">
        <v>-18.6447472709241</v>
      </c>
      <c r="V48" s="164">
        <v>-1.5388023098593777</v>
      </c>
      <c r="W48" s="164">
        <v>-16.67124678346336</v>
      </c>
      <c r="X48" s="164">
        <v>-26.750332843403726</v>
      </c>
      <c r="Y48" s="164">
        <v>-6.0283323142220411</v>
      </c>
      <c r="Z48" s="164">
        <v>-14.127870501425832</v>
      </c>
      <c r="AA48" s="164">
        <v>-30.476621080140632</v>
      </c>
      <c r="AB48" s="164">
        <v>0.60979971223271434</v>
      </c>
      <c r="AC48" s="164">
        <v>0</v>
      </c>
      <c r="AD48" s="164">
        <v>0</v>
      </c>
      <c r="AE48" s="164">
        <v>0</v>
      </c>
      <c r="AF48" s="164">
        <v>-1.5</v>
      </c>
      <c r="AG48" s="164">
        <v>-6.4910130718954235</v>
      </c>
      <c r="AH48" s="164">
        <v>3.3619281045751563</v>
      </c>
      <c r="AI48" s="164">
        <v>-6.875</v>
      </c>
      <c r="AJ48" s="164">
        <v>-20.365896358543409</v>
      </c>
      <c r="AK48" s="164">
        <v>5.5007002801120422</v>
      </c>
      <c r="AL48" s="71">
        <v>53.195402429971068</v>
      </c>
      <c r="AM48" s="71">
        <v>27.351494883242811</v>
      </c>
      <c r="AN48" s="71">
        <v>19.453102686786121</v>
      </c>
      <c r="AO48" s="72">
        <v>46.804597570028932</v>
      </c>
      <c r="AP48" s="26">
        <v>-11.940032111746319</v>
      </c>
      <c r="AQ48" s="8">
        <v>-16.873821137389314</v>
      </c>
      <c r="AR48" s="8">
        <v>-2.3257189277500174</v>
      </c>
      <c r="AS48" s="8">
        <v>-15.363785550324678</v>
      </c>
      <c r="AT48" s="8">
        <v>-24.740144044858511</v>
      </c>
      <c r="AU48" s="8">
        <v>-5.4317510104433637</v>
      </c>
      <c r="AV48" s="8">
        <v>-13.629262404042436</v>
      </c>
      <c r="AW48" s="8">
        <v>-29.589406887274478</v>
      </c>
      <c r="AX48" s="8">
        <v>0.89978003021104769</v>
      </c>
      <c r="AY48" s="164">
        <v>0</v>
      </c>
      <c r="AZ48" s="164">
        <v>0</v>
      </c>
      <c r="BA48" s="164">
        <v>0</v>
      </c>
      <c r="BB48" s="164">
        <v>-1.5</v>
      </c>
      <c r="BC48" s="164">
        <v>-6.4910130718954235</v>
      </c>
      <c r="BD48" s="164">
        <v>3.3619281045751563</v>
      </c>
      <c r="BE48" s="164">
        <v>-6.875</v>
      </c>
      <c r="BF48" s="164">
        <v>-20.365896358543409</v>
      </c>
      <c r="BG48" s="164">
        <v>5.5007002801120422</v>
      </c>
      <c r="BH48" s="24">
        <v>62.059546383453764</v>
      </c>
      <c r="BI48" s="24">
        <v>18.487350929760105</v>
      </c>
      <c r="BJ48" s="24">
        <v>19.453102686786121</v>
      </c>
      <c r="BK48" s="25">
        <v>37.940453616546222</v>
      </c>
      <c r="BL48" s="215" t="s">
        <v>552</v>
      </c>
      <c r="BN48" s="218">
        <v>0.35937149837598498</v>
      </c>
      <c r="BO48" s="218">
        <v>8.83228874653887</v>
      </c>
      <c r="BP48" s="218">
        <v>18.4209126597138</v>
      </c>
      <c r="BQ48" s="218">
        <v>14.083610032303101</v>
      </c>
      <c r="BR48" s="218">
        <v>5.2995837478769001</v>
      </c>
      <c r="BS48" s="220" t="s">
        <v>220</v>
      </c>
      <c r="BT48" s="221" t="s">
        <v>220</v>
      </c>
      <c r="BU48" s="221" t="s">
        <v>220</v>
      </c>
      <c r="BV48" s="221" t="s">
        <v>220</v>
      </c>
      <c r="BW48" s="222" t="s">
        <v>220</v>
      </c>
      <c r="BX48" s="220">
        <v>0.35937149837598498</v>
      </c>
      <c r="BY48" s="221">
        <v>8.83228874653887</v>
      </c>
      <c r="BZ48" s="221">
        <v>18.4209126597138</v>
      </c>
      <c r="CA48" s="221">
        <v>14.083610032303101</v>
      </c>
      <c r="CB48" s="222">
        <v>5.2995837478769001</v>
      </c>
      <c r="CC48" s="223">
        <v>0.68768524600000003</v>
      </c>
      <c r="CD48" s="224">
        <v>6.5828491810000003</v>
      </c>
      <c r="CE48" s="224">
        <v>13.50854528</v>
      </c>
      <c r="CF48" s="224">
        <v>10.171246050000001</v>
      </c>
      <c r="CG48" s="225">
        <v>3.6381094869999999</v>
      </c>
      <c r="CH48" s="26" t="s">
        <v>220</v>
      </c>
      <c r="CI48" s="8" t="s">
        <v>220</v>
      </c>
      <c r="CJ48" s="8" t="s">
        <v>220</v>
      </c>
      <c r="CK48" s="8" t="s">
        <v>220</v>
      </c>
      <c r="CL48" s="68" t="s">
        <v>220</v>
      </c>
    </row>
    <row r="49" spans="1:90" ht="15" customHeight="1" x14ac:dyDescent="0.3">
      <c r="A49" t="s">
        <v>547</v>
      </c>
      <c r="B49" t="s">
        <v>548</v>
      </c>
      <c r="C49" t="s">
        <v>646</v>
      </c>
      <c r="D49" t="s">
        <v>889</v>
      </c>
      <c r="E49" s="205" t="s">
        <v>704</v>
      </c>
      <c r="F49" s="128" t="s">
        <v>1041</v>
      </c>
      <c r="G49" s="198" t="s">
        <v>335</v>
      </c>
      <c r="H49" s="198"/>
      <c r="I49" s="128" t="s">
        <v>201</v>
      </c>
      <c r="J49" s="154" t="s">
        <v>227</v>
      </c>
      <c r="K49" s="423" t="s">
        <v>201</v>
      </c>
      <c r="L49" s="199"/>
      <c r="M49" s="424" t="s">
        <v>201</v>
      </c>
      <c r="N49" s="424" t="s">
        <v>267</v>
      </c>
      <c r="O49" s="398" t="s">
        <v>187</v>
      </c>
      <c r="P49" s="398">
        <v>160</v>
      </c>
      <c r="Q49" s="407">
        <v>24</v>
      </c>
      <c r="R49" s="430" t="s">
        <v>1002</v>
      </c>
      <c r="S49" s="126">
        <v>37</v>
      </c>
      <c r="T49" s="164">
        <v>-64.752446268495191</v>
      </c>
      <c r="U49" s="164">
        <v>-76.921352566977433</v>
      </c>
      <c r="V49" s="164">
        <v>-48.471135107621038</v>
      </c>
      <c r="W49" s="164">
        <v>-64.90069472960009</v>
      </c>
      <c r="X49" s="164">
        <v>-78.953812828172531</v>
      </c>
      <c r="Y49" s="164">
        <v>-46.847547151981409</v>
      </c>
      <c r="Z49" s="164">
        <v>-46.421027898130895</v>
      </c>
      <c r="AA49" s="164">
        <v>-70.902247056050612</v>
      </c>
      <c r="AB49" s="164">
        <v>-25.394477775127115</v>
      </c>
      <c r="AC49" s="164">
        <v>0</v>
      </c>
      <c r="AD49" s="164">
        <v>0</v>
      </c>
      <c r="AE49" s="164">
        <v>0</v>
      </c>
      <c r="AF49" s="164">
        <v>-1.1428571428571388</v>
      </c>
      <c r="AG49" s="164">
        <v>-8.9365079365079367</v>
      </c>
      <c r="AH49" s="164">
        <v>3.8888888888888857</v>
      </c>
      <c r="AI49" s="164">
        <v>-6.4285714285714306</v>
      </c>
      <c r="AJ49" s="164">
        <v>-19.706122448979599</v>
      </c>
      <c r="AK49" s="164">
        <v>2.8956916099773196</v>
      </c>
      <c r="AL49" s="71">
        <v>4.7653292757026264</v>
      </c>
      <c r="AM49" s="71">
        <v>5.0500991206002794</v>
      </c>
      <c r="AN49" s="71">
        <v>90.184571603697094</v>
      </c>
      <c r="AO49" s="72">
        <v>95.234670724297374</v>
      </c>
      <c r="AP49" s="26">
        <v>-64.284027376091828</v>
      </c>
      <c r="AQ49" s="8">
        <v>-76.254563935099981</v>
      </c>
      <c r="AR49" s="8">
        <v>-48.272464071629393</v>
      </c>
      <c r="AS49" s="8">
        <v>-64.421866528476642</v>
      </c>
      <c r="AT49" s="8">
        <v>-78.358221535322201</v>
      </c>
      <c r="AU49" s="8">
        <v>-46.602661117890833</v>
      </c>
      <c r="AV49" s="8">
        <v>-46.294034331745976</v>
      </c>
      <c r="AW49" s="8">
        <v>-70.524236946174298</v>
      </c>
      <c r="AX49" s="8">
        <v>-25.469888211394164</v>
      </c>
      <c r="AY49" s="164">
        <v>0</v>
      </c>
      <c r="AZ49" s="164">
        <v>0</v>
      </c>
      <c r="BA49" s="164">
        <v>0</v>
      </c>
      <c r="BB49" s="164">
        <v>-1.1428571428571388</v>
      </c>
      <c r="BC49" s="164">
        <v>-8.9365079365079367</v>
      </c>
      <c r="BD49" s="164">
        <v>3.8888888888888857</v>
      </c>
      <c r="BE49" s="164">
        <v>-6.4285714285714306</v>
      </c>
      <c r="BF49" s="164">
        <v>-19.706122448979599</v>
      </c>
      <c r="BG49" s="164">
        <v>2.8956916099773196</v>
      </c>
      <c r="BH49" s="24">
        <v>6.2226324965131141</v>
      </c>
      <c r="BI49" s="24">
        <v>3.59279589978979</v>
      </c>
      <c r="BJ49" s="24">
        <v>90.184571603697094</v>
      </c>
      <c r="BK49" s="25">
        <v>93.777367503486886</v>
      </c>
      <c r="BL49" s="215" t="s">
        <v>552</v>
      </c>
      <c r="BM49" s="29" t="s">
        <v>689</v>
      </c>
      <c r="BN49" s="218">
        <v>0</v>
      </c>
      <c r="BO49" s="218">
        <v>1.4573032208104899</v>
      </c>
      <c r="BP49" s="218">
        <v>3.59279589978979</v>
      </c>
      <c r="BQ49" s="218">
        <v>20.6826968183791</v>
      </c>
      <c r="BR49" s="218">
        <v>69.501874785317995</v>
      </c>
      <c r="BS49" s="220">
        <v>0</v>
      </c>
      <c r="BT49" s="221">
        <v>1.35266231681507</v>
      </c>
      <c r="BU49" s="221">
        <v>2.67737868332829</v>
      </c>
      <c r="BV49" s="221">
        <v>18.293478473954899</v>
      </c>
      <c r="BW49" s="222">
        <v>75.1036470867746</v>
      </c>
      <c r="BX49" s="220">
        <v>0</v>
      </c>
      <c r="BY49" s="221">
        <f>0.0145730322081049*100</f>
        <v>1.4573032208104899</v>
      </c>
      <c r="BZ49" s="221">
        <f>0.0359279589978979*100</f>
        <v>3.59279589978979</v>
      </c>
      <c r="CA49" s="221">
        <f>0.206826968183791*100</f>
        <v>20.6826968183791</v>
      </c>
      <c r="CB49" s="222">
        <f>0.69501874785318*100</f>
        <v>69.501874785317995</v>
      </c>
      <c r="CC49" s="223">
        <v>0</v>
      </c>
      <c r="CD49" s="224">
        <v>1.9934462040000001</v>
      </c>
      <c r="CE49" s="224">
        <v>4.8539049700000003</v>
      </c>
      <c r="CF49" s="224">
        <v>21.29300928</v>
      </c>
      <c r="CG49" s="225">
        <v>65.039595849999998</v>
      </c>
      <c r="CH49" s="26">
        <v>0</v>
      </c>
      <c r="CI49" s="8">
        <v>1.437187768</v>
      </c>
      <c r="CJ49" s="8">
        <v>2.961036059</v>
      </c>
      <c r="CK49" s="8">
        <v>18.460984979999999</v>
      </c>
      <c r="CL49" s="68">
        <v>73.912564970000005</v>
      </c>
    </row>
    <row r="50" spans="1:90" ht="15" customHeight="1" x14ac:dyDescent="0.3">
      <c r="A50" t="s">
        <v>547</v>
      </c>
      <c r="B50" t="s">
        <v>577</v>
      </c>
      <c r="C50" s="80" t="s">
        <v>647</v>
      </c>
      <c r="D50" s="80" t="s">
        <v>648</v>
      </c>
      <c r="E50" s="205" t="s">
        <v>186</v>
      </c>
      <c r="F50" s="128" t="s">
        <v>1042</v>
      </c>
      <c r="G50" s="198" t="s">
        <v>335</v>
      </c>
      <c r="H50" s="198"/>
      <c r="I50" s="153"/>
      <c r="J50" s="154" t="s">
        <v>188</v>
      </c>
      <c r="K50" s="423" t="s">
        <v>188</v>
      </c>
      <c r="L50" s="199"/>
      <c r="M50" s="199"/>
      <c r="N50" s="199"/>
      <c r="Q50" s="424" t="s">
        <v>1043</v>
      </c>
      <c r="R50" s="591" t="s">
        <v>1003</v>
      </c>
      <c r="S50" s="126">
        <v>38</v>
      </c>
      <c r="T50" s="164">
        <v>-16.309040515347959</v>
      </c>
      <c r="U50" s="164">
        <v>-21.099284075050534</v>
      </c>
      <c r="V50" s="164">
        <v>-10.328317187967698</v>
      </c>
      <c r="W50" s="164">
        <v>-16.839459337836544</v>
      </c>
      <c r="X50" s="164">
        <v>-28.817953370414145</v>
      </c>
      <c r="Y50" s="164">
        <v>-5.8153717553683606</v>
      </c>
      <c r="Z50" s="164">
        <v>-7.9169283724337589</v>
      </c>
      <c r="AA50" s="164">
        <v>-29.449872535960665</v>
      </c>
      <c r="AB50" s="164">
        <v>4.7193870220644385</v>
      </c>
      <c r="AC50" s="164">
        <v>0</v>
      </c>
      <c r="AD50" s="164">
        <v>0</v>
      </c>
      <c r="AE50" s="164">
        <v>0</v>
      </c>
      <c r="AF50" s="164">
        <v>0</v>
      </c>
      <c r="AG50" s="164">
        <v>-10.55755635587569</v>
      </c>
      <c r="AH50" s="164">
        <v>7.2288915566226422</v>
      </c>
      <c r="AI50" s="164">
        <v>-1.4285714285714306</v>
      </c>
      <c r="AJ50" s="164">
        <v>-18.651193810857677</v>
      </c>
      <c r="AK50" s="164">
        <v>9.0088035214085664</v>
      </c>
      <c r="AL50" s="71">
        <v>62.469139394173595</v>
      </c>
      <c r="AM50" s="71">
        <v>18.564658787100207</v>
      </c>
      <c r="AN50" s="71">
        <v>18.966201818726201</v>
      </c>
      <c r="AO50" s="72">
        <v>37.530860605826405</v>
      </c>
      <c r="AP50" s="26">
        <v>-15.137040814890767</v>
      </c>
      <c r="AQ50" s="8">
        <v>-19.089500242794145</v>
      </c>
      <c r="AR50" s="8">
        <v>-9.8933879066814683</v>
      </c>
      <c r="AS50" s="8">
        <v>-15.505804506281805</v>
      </c>
      <c r="AT50" s="8">
        <v>-27.223408892411641</v>
      </c>
      <c r="AU50" s="8">
        <v>-4.9863646972137587</v>
      </c>
      <c r="AV50" s="8">
        <v>-7.7148594585618468</v>
      </c>
      <c r="AW50" s="8">
        <v>-28.848669405545536</v>
      </c>
      <c r="AX50" s="8">
        <v>4.653457086244245</v>
      </c>
      <c r="AY50" s="164">
        <v>0</v>
      </c>
      <c r="AZ50" s="164">
        <v>0</v>
      </c>
      <c r="BA50" s="164">
        <v>0</v>
      </c>
      <c r="BB50" s="164">
        <v>0</v>
      </c>
      <c r="BC50" s="164">
        <v>-10.55755635587569</v>
      </c>
      <c r="BD50" s="164">
        <v>7.2288915566226422</v>
      </c>
      <c r="BE50" s="164">
        <v>-1.4285714285714306</v>
      </c>
      <c r="BF50" s="164">
        <v>-18.651193810857677</v>
      </c>
      <c r="BG50" s="164">
        <v>9.0088035214085664</v>
      </c>
      <c r="BH50" s="24">
        <v>68.127068982587716</v>
      </c>
      <c r="BI50" s="24">
        <v>12.906729198686076</v>
      </c>
      <c r="BJ50" s="24">
        <v>18.966201818726201</v>
      </c>
      <c r="BK50" s="25">
        <v>31.872931017412277</v>
      </c>
      <c r="BL50" s="215" t="s">
        <v>552</v>
      </c>
      <c r="BN50" s="218">
        <v>0.17503420268456099</v>
      </c>
      <c r="BO50" s="218">
        <v>5.6480262764706</v>
      </c>
      <c r="BP50" s="218">
        <v>12.8841380081405</v>
      </c>
      <c r="BQ50" s="218">
        <v>11.527062511469699</v>
      </c>
      <c r="BR50" s="218">
        <v>7.4059419671235496</v>
      </c>
      <c r="BS50" s="220" t="s">
        <v>220</v>
      </c>
      <c r="BT50" s="221" t="s">
        <v>220</v>
      </c>
      <c r="BU50" s="221" t="s">
        <v>220</v>
      </c>
      <c r="BV50" s="221" t="s">
        <v>220</v>
      </c>
      <c r="BW50" s="222" t="s">
        <v>220</v>
      </c>
      <c r="BX50" s="220">
        <v>0.17503420268456099</v>
      </c>
      <c r="BY50" s="221">
        <v>5.6480262764706</v>
      </c>
      <c r="BZ50" s="221">
        <v>12.8841380081405</v>
      </c>
      <c r="CA50" s="221">
        <v>11.527062511469699</v>
      </c>
      <c r="CB50" s="222">
        <v>7.4059419671235496</v>
      </c>
      <c r="CC50" s="223">
        <v>0.22925922300000001</v>
      </c>
      <c r="CD50" s="224">
        <v>5.4144831040000003</v>
      </c>
      <c r="CE50" s="224">
        <v>12.111203189999999</v>
      </c>
      <c r="CF50" s="224">
        <v>10.781475950000001</v>
      </c>
      <c r="CG50" s="225">
        <v>6.8723153159999999</v>
      </c>
      <c r="CH50" s="26" t="s">
        <v>220</v>
      </c>
      <c r="CI50" s="8" t="s">
        <v>220</v>
      </c>
      <c r="CJ50" s="8" t="s">
        <v>220</v>
      </c>
      <c r="CK50" s="8" t="s">
        <v>220</v>
      </c>
      <c r="CL50" s="68" t="s">
        <v>220</v>
      </c>
    </row>
    <row r="51" spans="1:90" ht="15" customHeight="1" x14ac:dyDescent="0.3">
      <c r="A51" t="s">
        <v>547</v>
      </c>
      <c r="B51" s="79" t="s">
        <v>649</v>
      </c>
      <c r="C51" t="s">
        <v>650</v>
      </c>
      <c r="D51" t="s">
        <v>651</v>
      </c>
      <c r="E51" s="205" t="s">
        <v>186</v>
      </c>
      <c r="F51" s="128" t="s">
        <v>1044</v>
      </c>
      <c r="G51" s="198" t="s">
        <v>211</v>
      </c>
      <c r="H51" s="198"/>
      <c r="I51" s="128" t="s">
        <v>201</v>
      </c>
      <c r="J51" s="154" t="s">
        <v>743</v>
      </c>
      <c r="K51" s="423" t="s">
        <v>201</v>
      </c>
      <c r="L51" s="424" t="s">
        <v>267</v>
      </c>
      <c r="M51" s="424" t="s">
        <v>201</v>
      </c>
      <c r="N51" s="424" t="s">
        <v>267</v>
      </c>
      <c r="O51" s="398" t="s">
        <v>267</v>
      </c>
      <c r="P51" s="398">
        <v>4400</v>
      </c>
      <c r="Q51" s="407">
        <v>2200</v>
      </c>
      <c r="R51" s="430">
        <v>5000</v>
      </c>
      <c r="S51" s="126">
        <v>39</v>
      </c>
      <c r="T51" s="164">
        <v>-27.6758429856487</v>
      </c>
      <c r="U51" s="164">
        <v>-40.626760198029729</v>
      </c>
      <c r="V51" s="164">
        <v>-13.953746757873759</v>
      </c>
      <c r="W51" s="164">
        <v>-29.428451761448386</v>
      </c>
      <c r="X51" s="164">
        <v>-44.367294636171756</v>
      </c>
      <c r="Y51" s="164">
        <v>-18.092228441442444</v>
      </c>
      <c r="Z51" s="164">
        <v>-23.776139705706555</v>
      </c>
      <c r="AA51" s="164">
        <v>-40.351340379790962</v>
      </c>
      <c r="AB51" s="164">
        <v>-7.4542534426489908</v>
      </c>
      <c r="AC51" s="164">
        <v>0</v>
      </c>
      <c r="AD51" s="164">
        <v>0</v>
      </c>
      <c r="AE51" s="164">
        <v>0</v>
      </c>
      <c r="AF51" s="164">
        <v>-1.8571428571428612</v>
      </c>
      <c r="AG51" s="164">
        <v>-9.0597572362278243</v>
      </c>
      <c r="AH51" s="164">
        <v>1.3323996265172724</v>
      </c>
      <c r="AI51" s="164">
        <v>-7.4285714285714306</v>
      </c>
      <c r="AJ51" s="164">
        <v>-22.423129251700686</v>
      </c>
      <c r="AK51" s="164">
        <v>-0.18503401360544558</v>
      </c>
      <c r="AL51" s="71">
        <v>36.817847952825289</v>
      </c>
      <c r="AM51" s="71">
        <v>9.9917048930456112</v>
      </c>
      <c r="AN51" s="71">
        <v>53.190447154129103</v>
      </c>
      <c r="AO51" s="72">
        <v>63.182152047174711</v>
      </c>
      <c r="AP51" s="26">
        <v>-27.070443432872423</v>
      </c>
      <c r="AQ51" s="8">
        <v>-39.378159447937193</v>
      </c>
      <c r="AR51" s="8">
        <v>-13.830371310410342</v>
      </c>
      <c r="AS51" s="8">
        <v>-28.835534673677799</v>
      </c>
      <c r="AT51" s="8">
        <v>-43.323767554673104</v>
      </c>
      <c r="AU51" s="8">
        <v>-17.882701350275383</v>
      </c>
      <c r="AV51" s="8">
        <v>-23.538972870598315</v>
      </c>
      <c r="AW51" s="8">
        <v>-40.020771839445423</v>
      </c>
      <c r="AX51" s="8">
        <v>-7.287874188734591</v>
      </c>
      <c r="AY51" s="164">
        <v>0</v>
      </c>
      <c r="AZ51" s="164">
        <v>0</v>
      </c>
      <c r="BA51" s="164">
        <v>0</v>
      </c>
      <c r="BB51" s="164">
        <v>-1.8571428571428612</v>
      </c>
      <c r="BC51" s="164">
        <v>-9.0597572362278243</v>
      </c>
      <c r="BD51" s="164">
        <v>1.3323996265172724</v>
      </c>
      <c r="BE51" s="164">
        <v>-7.4285714285714306</v>
      </c>
      <c r="BF51" s="164">
        <v>-22.423129251700686</v>
      </c>
      <c r="BG51" s="164">
        <v>-0.18503401360544558</v>
      </c>
      <c r="BH51" s="24">
        <v>41.186710704819163</v>
      </c>
      <c r="BI51" s="24">
        <v>5.6228421410517297</v>
      </c>
      <c r="BJ51" s="24">
        <v>53.190447154129103</v>
      </c>
      <c r="BK51" s="25">
        <v>58.81328929518083</v>
      </c>
      <c r="BL51" s="215" t="s">
        <v>552</v>
      </c>
      <c r="BN51" s="218">
        <v>0</v>
      </c>
      <c r="BO51" s="218">
        <v>4.3688627519938805</v>
      </c>
      <c r="BP51" s="218">
        <v>5.6228421410517297</v>
      </c>
      <c r="BQ51" s="218">
        <v>13.952292544499901</v>
      </c>
      <c r="BR51" s="218">
        <v>39.238154609629198</v>
      </c>
      <c r="BS51" s="220">
        <v>0</v>
      </c>
      <c r="BT51" s="221">
        <f>0.0422987565520206*100</f>
        <v>4.2298756552020604</v>
      </c>
      <c r="BU51" s="221">
        <f>0.0555047821721634*100</f>
        <v>5.55047821721634</v>
      </c>
      <c r="BV51" s="221">
        <f>0.136597083155133*100</f>
        <v>13.659708315513299</v>
      </c>
      <c r="BW51" s="222">
        <f>0.387253247561705*100</f>
        <v>38.725324756170501</v>
      </c>
      <c r="BX51" s="220">
        <v>0</v>
      </c>
      <c r="BY51" s="221">
        <f>0.0436886275199388*100</f>
        <v>4.3688627519938805</v>
      </c>
      <c r="BZ51" s="221">
        <f>0.0562284214105173*100</f>
        <v>5.6228421410517297</v>
      </c>
      <c r="CA51" s="221">
        <f>0.139522925444999*100</f>
        <v>13.952292544499901</v>
      </c>
      <c r="CB51" s="222">
        <f>0.392381546096292*100</f>
        <v>39.238154609629198</v>
      </c>
      <c r="CC51" s="223">
        <v>0</v>
      </c>
      <c r="CD51" s="224">
        <v>8.9734347400000001</v>
      </c>
      <c r="CE51" s="224">
        <v>8.7265256099999995</v>
      </c>
      <c r="CF51" s="224">
        <v>12.19586923</v>
      </c>
      <c r="CG51" s="225">
        <v>24.781025840000002</v>
      </c>
      <c r="CH51" s="26">
        <v>0</v>
      </c>
      <c r="CI51" s="8">
        <v>9.0876904330000006</v>
      </c>
      <c r="CJ51" s="8">
        <v>8.8584685840000006</v>
      </c>
      <c r="CK51" s="8">
        <v>12.52668826</v>
      </c>
      <c r="CL51" s="68">
        <v>26.00280764</v>
      </c>
    </row>
    <row r="52" spans="1:90" ht="15" customHeight="1" x14ac:dyDescent="0.3">
      <c r="A52" t="s">
        <v>547</v>
      </c>
      <c r="B52" t="s">
        <v>580</v>
      </c>
      <c r="C52" s="67" t="s">
        <v>678</v>
      </c>
      <c r="D52" s="67" t="s">
        <v>679</v>
      </c>
      <c r="E52" s="205" t="s">
        <v>186</v>
      </c>
      <c r="F52" s="153" t="s">
        <v>1048</v>
      </c>
      <c r="G52" s="154" t="s">
        <v>211</v>
      </c>
      <c r="H52" s="198"/>
      <c r="I52" s="153"/>
      <c r="J52" s="154" t="s">
        <v>188</v>
      </c>
      <c r="K52" s="423" t="s">
        <v>188</v>
      </c>
      <c r="L52" s="199"/>
      <c r="M52" s="199"/>
      <c r="N52" s="199"/>
      <c r="O52" s="199"/>
      <c r="P52" s="199"/>
      <c r="Q52" s="199"/>
      <c r="R52" s="199"/>
      <c r="S52" s="126"/>
      <c r="T52" s="147"/>
      <c r="U52" s="147"/>
      <c r="V52" s="147"/>
      <c r="W52" s="147"/>
      <c r="X52" s="147"/>
      <c r="Y52" s="147"/>
      <c r="Z52" s="147"/>
      <c r="AA52" s="147"/>
      <c r="AB52" s="147"/>
      <c r="AC52" s="147"/>
      <c r="AD52" s="147"/>
      <c r="AE52" s="147"/>
      <c r="AF52" s="147"/>
      <c r="AG52" s="147"/>
      <c r="AH52" s="147"/>
      <c r="AI52" s="147"/>
      <c r="AJ52" s="147"/>
      <c r="AK52" s="147"/>
      <c r="AL52" s="71">
        <v>57.263288157914523</v>
      </c>
      <c r="AM52" s="71">
        <v>29.042044668357686</v>
      </c>
      <c r="AN52" s="71">
        <v>13.694667173727787</v>
      </c>
      <c r="AO52" s="72">
        <v>42.736711842085469</v>
      </c>
      <c r="AP52" s="206"/>
      <c r="AQ52" s="147"/>
      <c r="AR52" s="147"/>
      <c r="AS52" s="147"/>
      <c r="AT52" s="147"/>
      <c r="AU52" s="147"/>
      <c r="AV52" s="147"/>
      <c r="AW52" s="147"/>
      <c r="AX52" s="147"/>
      <c r="AY52" s="147"/>
      <c r="AZ52" s="147"/>
      <c r="BA52" s="147"/>
      <c r="BB52" s="147"/>
      <c r="BC52" s="147"/>
      <c r="BD52" s="147"/>
      <c r="BE52" s="147"/>
      <c r="BF52" s="147"/>
      <c r="BG52" s="147"/>
      <c r="BH52" s="24">
        <v>67.674808653736108</v>
      </c>
      <c r="BI52" s="24">
        <v>18.630524172536116</v>
      </c>
      <c r="BJ52" s="24">
        <v>13.694667173727787</v>
      </c>
      <c r="BK52" s="25">
        <v>32.325191346263907</v>
      </c>
      <c r="BL52" s="215" t="s">
        <v>552</v>
      </c>
      <c r="BN52" s="218">
        <v>0.19675431353269199</v>
      </c>
      <c r="BO52" s="218">
        <v>10.3910353801417</v>
      </c>
      <c r="BP52" s="218">
        <v>18.593867812592901</v>
      </c>
      <c r="BQ52" s="218">
        <v>11.879753783234101</v>
      </c>
      <c r="BR52" s="218">
        <v>1.7879685421054301</v>
      </c>
      <c r="BS52" s="220" t="s">
        <v>220</v>
      </c>
      <c r="BT52" s="221" t="s">
        <v>220</v>
      </c>
      <c r="BU52" s="221" t="s">
        <v>220</v>
      </c>
      <c r="BV52" s="221" t="s">
        <v>220</v>
      </c>
      <c r="BW52" s="222" t="s">
        <v>220</v>
      </c>
      <c r="BX52" s="220">
        <v>0.19675431353269199</v>
      </c>
      <c r="BY52" s="221">
        <v>10.3910353801417</v>
      </c>
      <c r="BZ52" s="221">
        <v>18.593867812592901</v>
      </c>
      <c r="CA52" s="221">
        <v>11.879753783234101</v>
      </c>
      <c r="CB52" s="222">
        <v>1.7879685421054301</v>
      </c>
      <c r="CC52" s="223">
        <v>0.36310240999999999</v>
      </c>
      <c r="CD52" s="224">
        <v>7.7110839540000002</v>
      </c>
      <c r="CE52" s="224">
        <v>14.31713931</v>
      </c>
      <c r="CF52" s="224">
        <v>9.2483845220000003</v>
      </c>
      <c r="CG52" s="225">
        <v>1.38030534</v>
      </c>
      <c r="CH52" s="26" t="s">
        <v>220</v>
      </c>
      <c r="CI52" s="8" t="s">
        <v>220</v>
      </c>
      <c r="CJ52" s="8" t="s">
        <v>220</v>
      </c>
      <c r="CK52" s="8" t="s">
        <v>220</v>
      </c>
      <c r="CL52" s="68" t="s">
        <v>220</v>
      </c>
    </row>
    <row r="53" spans="1:90" ht="15" customHeight="1" x14ac:dyDescent="0.3">
      <c r="A53" t="s">
        <v>547</v>
      </c>
      <c r="B53" s="67" t="s">
        <v>652</v>
      </c>
      <c r="C53" s="67" t="s">
        <v>653</v>
      </c>
      <c r="D53" s="67" t="s">
        <v>654</v>
      </c>
      <c r="E53" s="205" t="s">
        <v>186</v>
      </c>
      <c r="F53" s="128" t="s">
        <v>1045</v>
      </c>
      <c r="G53" s="198" t="s">
        <v>211</v>
      </c>
      <c r="H53" s="198"/>
      <c r="I53" s="153"/>
      <c r="J53" s="154" t="s">
        <v>188</v>
      </c>
      <c r="K53" s="423" t="s">
        <v>188</v>
      </c>
      <c r="L53" s="199"/>
      <c r="M53" s="199"/>
      <c r="N53" s="199"/>
      <c r="Q53" s="424" t="s">
        <v>999</v>
      </c>
      <c r="R53" s="429" t="s">
        <v>999</v>
      </c>
      <c r="S53" s="126">
        <v>40</v>
      </c>
      <c r="T53" s="164">
        <v>-11.456324378214219</v>
      </c>
      <c r="U53" s="164">
        <v>-16.215220512525633</v>
      </c>
      <c r="V53" s="164">
        <v>-6.0505190233745907</v>
      </c>
      <c r="W53" s="164">
        <v>-12.616836234128996</v>
      </c>
      <c r="X53" s="164">
        <v>-24.05782883356899</v>
      </c>
      <c r="Y53" s="164">
        <v>-3.6521248250045488</v>
      </c>
      <c r="Z53" s="164">
        <v>-9.7552322951617043</v>
      </c>
      <c r="AA53" s="164">
        <v>-24.904137844926765</v>
      </c>
      <c r="AB53" s="164">
        <v>2.3453756452411767</v>
      </c>
      <c r="AC53" s="164">
        <v>0</v>
      </c>
      <c r="AD53" s="164">
        <v>0</v>
      </c>
      <c r="AE53" s="164">
        <v>0</v>
      </c>
      <c r="AF53" s="164">
        <v>-0.1428571428571388</v>
      </c>
      <c r="AG53" s="164">
        <v>-8.7126148705095972</v>
      </c>
      <c r="AH53" s="164">
        <v>6.7761069340016746</v>
      </c>
      <c r="AI53" s="164">
        <v>-3</v>
      </c>
      <c r="AJ53" s="164">
        <v>-17.13650793650794</v>
      </c>
      <c r="AK53" s="164">
        <v>6.2952380952380906</v>
      </c>
      <c r="AL53" s="71">
        <v>59.775388896917967</v>
      </c>
      <c r="AM53" s="71">
        <v>27.247283148529945</v>
      </c>
      <c r="AN53" s="71">
        <v>12.97732795455209</v>
      </c>
      <c r="AO53" s="72">
        <v>40.224611103082033</v>
      </c>
      <c r="AP53" s="26">
        <v>-9.9380453522381629</v>
      </c>
      <c r="AQ53" s="8">
        <v>-13.688387715705815</v>
      </c>
      <c r="AR53" s="8">
        <v>-5.4848571725484305</v>
      </c>
      <c r="AS53" s="8">
        <v>-10.83630901275707</v>
      </c>
      <c r="AT53" s="8">
        <v>-21.594462337037569</v>
      </c>
      <c r="AU53" s="8">
        <v>-2.1482479445699454</v>
      </c>
      <c r="AV53" s="8">
        <v>-9.0098953187734452</v>
      </c>
      <c r="AW53" s="8">
        <v>-23.992776071152576</v>
      </c>
      <c r="AX53" s="8">
        <v>2.6519234104858498</v>
      </c>
      <c r="AY53" s="164">
        <v>0</v>
      </c>
      <c r="AZ53" s="164">
        <v>0</v>
      </c>
      <c r="BA53" s="164">
        <v>0</v>
      </c>
      <c r="BB53" s="164">
        <v>-0.1428571428571388</v>
      </c>
      <c r="BC53" s="164">
        <v>-8.7126148705095972</v>
      </c>
      <c r="BD53" s="164">
        <v>6.7761069340016746</v>
      </c>
      <c r="BE53" s="164">
        <v>-3</v>
      </c>
      <c r="BF53" s="164">
        <v>-17.13650793650794</v>
      </c>
      <c r="BG53" s="164">
        <v>6.2952380952380906</v>
      </c>
      <c r="BH53" s="24">
        <v>69.437164516765677</v>
      </c>
      <c r="BI53" s="24">
        <v>17.585507528682225</v>
      </c>
      <c r="BJ53" s="24">
        <v>12.97732795455209</v>
      </c>
      <c r="BK53" s="25">
        <v>30.562835483234316</v>
      </c>
      <c r="BL53" s="215" t="s">
        <v>552</v>
      </c>
      <c r="BN53" s="218">
        <v>0.17170704541611401</v>
      </c>
      <c r="BO53" s="218">
        <v>9.6451856703961401</v>
      </c>
      <c r="BP53" s="218">
        <v>17.555311973283299</v>
      </c>
      <c r="BQ53" s="218">
        <v>11.2519179812519</v>
      </c>
      <c r="BR53" s="218">
        <v>1.7031269868954699</v>
      </c>
      <c r="BS53" s="220" t="s">
        <v>220</v>
      </c>
      <c r="BT53" s="221" t="s">
        <v>220</v>
      </c>
      <c r="BU53" s="221" t="s">
        <v>220</v>
      </c>
      <c r="BV53" s="221" t="s">
        <v>220</v>
      </c>
      <c r="BW53" s="222" t="s">
        <v>220</v>
      </c>
      <c r="BX53" s="220">
        <v>0.17170704541611401</v>
      </c>
      <c r="BY53" s="221">
        <v>9.6451856703961401</v>
      </c>
      <c r="BZ53" s="221">
        <v>17.555311973283299</v>
      </c>
      <c r="CA53" s="221">
        <v>11.2519179812519</v>
      </c>
      <c r="CB53" s="222">
        <v>1.7031269868954699</v>
      </c>
      <c r="CC53" s="223">
        <v>0.23332002700000001</v>
      </c>
      <c r="CD53" s="224">
        <v>6.8300294270000004</v>
      </c>
      <c r="CE53" s="224">
        <v>12.802311720000001</v>
      </c>
      <c r="CF53" s="224">
        <v>8.3137228039999993</v>
      </c>
      <c r="CG53" s="225">
        <v>1.2692729469999999</v>
      </c>
      <c r="CH53" s="26" t="s">
        <v>220</v>
      </c>
      <c r="CI53" s="8" t="s">
        <v>220</v>
      </c>
      <c r="CJ53" s="8" t="s">
        <v>220</v>
      </c>
      <c r="CK53" s="8" t="s">
        <v>220</v>
      </c>
      <c r="CL53" s="68" t="s">
        <v>220</v>
      </c>
    </row>
    <row r="54" spans="1:90" ht="15" customHeight="1" x14ac:dyDescent="0.3">
      <c r="A54" t="s">
        <v>547</v>
      </c>
      <c r="B54" s="67" t="s">
        <v>574</v>
      </c>
      <c r="C54" s="67" t="s">
        <v>655</v>
      </c>
      <c r="D54" s="67" t="s">
        <v>656</v>
      </c>
      <c r="E54" s="205" t="s">
        <v>186</v>
      </c>
      <c r="F54" s="128" t="s">
        <v>1045</v>
      </c>
      <c r="G54" s="198" t="s">
        <v>211</v>
      </c>
      <c r="H54" s="198"/>
      <c r="I54" s="153"/>
      <c r="J54" s="154" t="s">
        <v>188</v>
      </c>
      <c r="K54" s="423" t="s">
        <v>188</v>
      </c>
      <c r="L54" s="199"/>
      <c r="M54" s="199"/>
      <c r="N54" s="199"/>
      <c r="Q54" s="424" t="s">
        <v>999</v>
      </c>
      <c r="R54" s="429" t="s">
        <v>999</v>
      </c>
      <c r="S54" s="126">
        <v>41</v>
      </c>
      <c r="T54" s="164">
        <v>-9.2632129284434512</v>
      </c>
      <c r="U54" s="164">
        <v>-12.599795076431221</v>
      </c>
      <c r="V54" s="164">
        <v>-3.2551470920175234</v>
      </c>
      <c r="W54" s="164">
        <v>-12.854260752900288</v>
      </c>
      <c r="X54" s="164">
        <v>-21.028341303880012</v>
      </c>
      <c r="Y54" s="164">
        <v>-3.6568393735488769</v>
      </c>
      <c r="Z54" s="164">
        <v>-11.615944349562142</v>
      </c>
      <c r="AA54" s="164">
        <v>-26.246194105919841</v>
      </c>
      <c r="AB54" s="164">
        <v>2.3537721368537063</v>
      </c>
      <c r="AC54" s="164">
        <v>0</v>
      </c>
      <c r="AD54" s="164">
        <v>0</v>
      </c>
      <c r="AE54" s="164">
        <v>0</v>
      </c>
      <c r="AF54" s="164">
        <v>-0.875</v>
      </c>
      <c r="AG54" s="164">
        <v>-6.5277777777777715</v>
      </c>
      <c r="AH54" s="164">
        <v>3.4722222222222285</v>
      </c>
      <c r="AI54" s="164">
        <v>-6.875</v>
      </c>
      <c r="AJ54" s="164">
        <v>-19.340102707749764</v>
      </c>
      <c r="AK54" s="164">
        <v>5.9332399626517258</v>
      </c>
      <c r="AL54" s="71">
        <v>70.485006958817706</v>
      </c>
      <c r="AM54" s="71">
        <v>17.100870239403957</v>
      </c>
      <c r="AN54" s="71">
        <v>12.414122801778335</v>
      </c>
      <c r="AO54" s="72">
        <v>29.514993041182294</v>
      </c>
      <c r="AP54" s="26">
        <v>-8.3224184279232247</v>
      </c>
      <c r="AQ54" s="8">
        <v>-11.160441810480947</v>
      </c>
      <c r="AR54" s="8">
        <v>-3.3231858257645683</v>
      </c>
      <c r="AS54" s="8">
        <v>-11.461588578901825</v>
      </c>
      <c r="AT54" s="8">
        <v>-19.301721907992999</v>
      </c>
      <c r="AU54" s="8">
        <v>-3.0189843404024543</v>
      </c>
      <c r="AV54" s="8">
        <v>-11.193697998934951</v>
      </c>
      <c r="AW54" s="8">
        <v>-25.471068027123067</v>
      </c>
      <c r="AX54" s="8">
        <v>2.71594104956786</v>
      </c>
      <c r="AY54" s="164">
        <v>0</v>
      </c>
      <c r="AZ54" s="164">
        <v>0</v>
      </c>
      <c r="BA54" s="164">
        <v>0</v>
      </c>
      <c r="BB54" s="164">
        <v>-0.875</v>
      </c>
      <c r="BC54" s="164">
        <v>-6.5277777777777715</v>
      </c>
      <c r="BD54" s="164">
        <v>3.4722222222222285</v>
      </c>
      <c r="BE54" s="164">
        <v>-6.875</v>
      </c>
      <c r="BF54" s="164">
        <v>-19.340102707749764</v>
      </c>
      <c r="BG54" s="164">
        <v>5.9332399626517258</v>
      </c>
      <c r="BH54" s="24">
        <v>76.411271529023878</v>
      </c>
      <c r="BI54" s="24">
        <v>11.174605669197787</v>
      </c>
      <c r="BJ54" s="24">
        <v>12.414122801778335</v>
      </c>
      <c r="BK54" s="25">
        <v>23.588728470976122</v>
      </c>
      <c r="BL54" s="215" t="s">
        <v>552</v>
      </c>
      <c r="BN54" s="218">
        <v>0.32587811455722498</v>
      </c>
      <c r="BO54" s="218">
        <v>5.9069521709611097</v>
      </c>
      <c r="BP54" s="218">
        <v>11.138190074933799</v>
      </c>
      <c r="BQ54" s="218">
        <v>8.6798281869649205</v>
      </c>
      <c r="BR54" s="218">
        <v>3.69383970548816</v>
      </c>
      <c r="BS54" s="220" t="s">
        <v>220</v>
      </c>
      <c r="BT54" s="221" t="s">
        <v>220</v>
      </c>
      <c r="BU54" s="221" t="s">
        <v>220</v>
      </c>
      <c r="BV54" s="221" t="s">
        <v>220</v>
      </c>
      <c r="BW54" s="222" t="s">
        <v>220</v>
      </c>
      <c r="BX54" s="220">
        <v>0.32587811455722498</v>
      </c>
      <c r="BY54" s="221">
        <v>5.9069521709611097</v>
      </c>
      <c r="BZ54" s="221">
        <v>11.138190074933799</v>
      </c>
      <c r="CA54" s="221">
        <v>8.6798281869649205</v>
      </c>
      <c r="CB54" s="222">
        <v>3.69383970548816</v>
      </c>
      <c r="CC54" s="223">
        <v>0.67806310400000003</v>
      </c>
      <c r="CD54" s="224">
        <v>4.1707871330000001</v>
      </c>
      <c r="CE54" s="224">
        <v>7.5699401159999997</v>
      </c>
      <c r="CF54" s="224">
        <v>5.8047101200000002</v>
      </c>
      <c r="CG54" s="225">
        <v>2.392619093</v>
      </c>
      <c r="CH54" s="26" t="s">
        <v>220</v>
      </c>
      <c r="CI54" s="8" t="s">
        <v>220</v>
      </c>
      <c r="CJ54" s="8" t="s">
        <v>220</v>
      </c>
      <c r="CK54" s="8" t="s">
        <v>220</v>
      </c>
      <c r="CL54" s="68" t="s">
        <v>220</v>
      </c>
    </row>
    <row r="55" spans="1:90" ht="15" customHeight="1" x14ac:dyDescent="0.3">
      <c r="A55" t="s">
        <v>547</v>
      </c>
      <c r="B55" s="67" t="s">
        <v>574</v>
      </c>
      <c r="C55" s="83" t="s">
        <v>657</v>
      </c>
      <c r="D55" s="83" t="s">
        <v>658</v>
      </c>
      <c r="E55" s="205" t="s">
        <v>186</v>
      </c>
      <c r="F55" s="128" t="s">
        <v>1045</v>
      </c>
      <c r="G55" s="198" t="s">
        <v>211</v>
      </c>
      <c r="H55" s="198"/>
      <c r="I55" s="153"/>
      <c r="J55" s="154" t="s">
        <v>188</v>
      </c>
      <c r="K55" s="423" t="s">
        <v>188</v>
      </c>
      <c r="L55" s="199"/>
      <c r="M55" s="199"/>
      <c r="N55" s="199"/>
      <c r="O55" s="199"/>
      <c r="P55" s="199"/>
      <c r="Q55" s="424" t="s">
        <v>999</v>
      </c>
      <c r="R55" s="429" t="s">
        <v>999</v>
      </c>
      <c r="S55" s="126">
        <v>42</v>
      </c>
      <c r="T55" s="164">
        <v>-13.173896437511587</v>
      </c>
      <c r="U55" s="164">
        <v>-18.567639340152795</v>
      </c>
      <c r="V55" s="164">
        <v>-4.8552679512258408</v>
      </c>
      <c r="W55" s="164">
        <v>-16.019245296680268</v>
      </c>
      <c r="X55" s="164">
        <v>-25.387998526622582</v>
      </c>
      <c r="Y55" s="164">
        <v>-5.3346093488646744</v>
      </c>
      <c r="Z55" s="164">
        <v>-13.878303253332106</v>
      </c>
      <c r="AA55" s="164">
        <v>-28.546098945237389</v>
      </c>
      <c r="AB55" s="164">
        <v>0.95060334095293797</v>
      </c>
      <c r="AC55" s="164">
        <v>0</v>
      </c>
      <c r="AD55" s="164">
        <v>0</v>
      </c>
      <c r="AE55" s="164">
        <v>0</v>
      </c>
      <c r="AF55" s="164">
        <v>-0.875</v>
      </c>
      <c r="AG55" s="164">
        <v>-6.5277777777777715</v>
      </c>
      <c r="AH55" s="164">
        <v>3.4722222222222285</v>
      </c>
      <c r="AI55" s="164">
        <v>-6.875</v>
      </c>
      <c r="AJ55" s="164">
        <v>-19.250816993464056</v>
      </c>
      <c r="AK55" s="164">
        <v>5.8439542483660176</v>
      </c>
      <c r="AL55" s="71">
        <v>56.526400705160022</v>
      </c>
      <c r="AM55" s="71">
        <v>28.046606803167272</v>
      </c>
      <c r="AN55" s="71">
        <v>15.426992491672713</v>
      </c>
      <c r="AO55" s="72">
        <v>43.473599294839985</v>
      </c>
      <c r="AP55" s="26">
        <v>-11.58816528406156</v>
      </c>
      <c r="AQ55" s="8">
        <v>-16.079199683896093</v>
      </c>
      <c r="AR55" s="8">
        <v>-4.7947787959390951</v>
      </c>
      <c r="AS55" s="8">
        <v>-14.046159968341684</v>
      </c>
      <c r="AT55" s="8">
        <v>-22.817346596377689</v>
      </c>
      <c r="AU55" s="8">
        <v>-4.4393049134765477</v>
      </c>
      <c r="AV55" s="8">
        <v>-13.091490085589726</v>
      </c>
      <c r="AW55" s="8">
        <v>-27.333797470192991</v>
      </c>
      <c r="AX55" s="8">
        <v>1.4966402639915941</v>
      </c>
      <c r="AY55" s="164">
        <v>0</v>
      </c>
      <c r="AZ55" s="164">
        <v>0</v>
      </c>
      <c r="BA55" s="164">
        <v>0</v>
      </c>
      <c r="BB55" s="164">
        <v>-0.875</v>
      </c>
      <c r="BC55" s="164">
        <v>-6.5277777777777715</v>
      </c>
      <c r="BD55" s="164">
        <v>3.4722222222222285</v>
      </c>
      <c r="BE55" s="164">
        <v>-6.875</v>
      </c>
      <c r="BF55" s="164">
        <v>-19.250816993464056</v>
      </c>
      <c r="BG55" s="164">
        <v>5.8439542483660176</v>
      </c>
      <c r="BH55" s="24">
        <v>66.210255077373944</v>
      </c>
      <c r="BI55" s="24">
        <v>18.362752430953343</v>
      </c>
      <c r="BJ55" s="24">
        <v>15.426992491672713</v>
      </c>
      <c r="BK55" s="25">
        <v>33.789744922626056</v>
      </c>
      <c r="BL55" s="215" t="s">
        <v>552</v>
      </c>
      <c r="BN55" s="218">
        <v>0.26206459966384699</v>
      </c>
      <c r="BO55" s="218">
        <v>9.65847641802136</v>
      </c>
      <c r="BP55" s="218">
        <v>18.314630157307899</v>
      </c>
      <c r="BQ55" s="218">
        <v>12.4399011173841</v>
      </c>
      <c r="BR55" s="218">
        <v>2.9466626881751399</v>
      </c>
      <c r="BS55" s="220" t="s">
        <v>220</v>
      </c>
      <c r="BT55" s="221" t="s">
        <v>220</v>
      </c>
      <c r="BU55" s="221" t="s">
        <v>220</v>
      </c>
      <c r="BV55" s="221" t="s">
        <v>220</v>
      </c>
      <c r="BW55" s="222" t="s">
        <v>220</v>
      </c>
      <c r="BX55" s="220">
        <v>0.26206459966384699</v>
      </c>
      <c r="BY55" s="221">
        <v>9.65847641802136</v>
      </c>
      <c r="BZ55" s="221">
        <v>18.314630157307899</v>
      </c>
      <c r="CA55" s="221">
        <v>12.4399011173841</v>
      </c>
      <c r="CB55" s="222">
        <v>2.9466626881751399</v>
      </c>
      <c r="CC55" s="223">
        <v>0.40310762700000002</v>
      </c>
      <c r="CD55" s="224">
        <v>6.86915794</v>
      </c>
      <c r="CE55" s="224">
        <v>13.1440077</v>
      </c>
      <c r="CF55" s="224">
        <v>8.8922163550000004</v>
      </c>
      <c r="CG55" s="225">
        <v>2.0080693639999998</v>
      </c>
      <c r="CH55" s="26" t="s">
        <v>220</v>
      </c>
      <c r="CI55" s="8" t="s">
        <v>220</v>
      </c>
      <c r="CJ55" s="8" t="s">
        <v>220</v>
      </c>
      <c r="CK55" s="8" t="s">
        <v>220</v>
      </c>
      <c r="CL55" s="68" t="s">
        <v>220</v>
      </c>
    </row>
    <row r="56" spans="1:90" ht="15" customHeight="1" x14ac:dyDescent="0.3">
      <c r="A56" t="s">
        <v>547</v>
      </c>
      <c r="B56" s="67" t="s">
        <v>574</v>
      </c>
      <c r="C56" s="67" t="s">
        <v>668</v>
      </c>
      <c r="D56" s="67" t="s">
        <v>669</v>
      </c>
      <c r="E56" s="205" t="s">
        <v>186</v>
      </c>
      <c r="F56" s="153" t="s">
        <v>1048</v>
      </c>
      <c r="G56" s="154" t="s">
        <v>211</v>
      </c>
      <c r="H56" s="198"/>
      <c r="I56" s="153"/>
      <c r="J56" s="154" t="s">
        <v>188</v>
      </c>
      <c r="K56" s="423" t="s">
        <v>188</v>
      </c>
      <c r="L56" s="199"/>
      <c r="M56" s="199"/>
      <c r="N56" s="199"/>
      <c r="O56" s="199"/>
      <c r="P56" s="199"/>
      <c r="Q56" s="199"/>
      <c r="R56" s="199"/>
      <c r="S56" s="126"/>
      <c r="T56" s="86"/>
      <c r="U56" s="86"/>
      <c r="V56" s="86"/>
      <c r="W56" s="86"/>
      <c r="X56" s="86"/>
      <c r="Y56" s="86"/>
      <c r="Z56" s="86"/>
      <c r="AA56" s="86"/>
      <c r="AB56" s="86"/>
      <c r="AC56" s="86"/>
      <c r="AD56" s="86"/>
      <c r="AE56" s="86"/>
      <c r="AF56" s="86"/>
      <c r="AG56" s="86"/>
      <c r="AH56" s="86"/>
      <c r="AI56" s="86"/>
      <c r="AJ56" s="86"/>
      <c r="AK56" s="86"/>
      <c r="AL56" s="71">
        <v>79.182843013422954</v>
      </c>
      <c r="AM56" s="71">
        <v>12.070900432556915</v>
      </c>
      <c r="AN56" s="71">
        <v>8.74625655402013</v>
      </c>
      <c r="AO56" s="72">
        <v>20.817156986577046</v>
      </c>
      <c r="AP56" s="69"/>
      <c r="AQ56" s="86"/>
      <c r="AR56" s="86"/>
      <c r="AS56" s="86"/>
      <c r="AT56" s="86"/>
      <c r="AU56" s="86"/>
      <c r="AV56" s="86"/>
      <c r="AW56" s="86"/>
      <c r="AX56" s="86"/>
      <c r="AY56" s="86"/>
      <c r="AZ56" s="86"/>
      <c r="BA56" s="86"/>
      <c r="BB56" s="86"/>
      <c r="BC56" s="86"/>
      <c r="BD56" s="86"/>
      <c r="BE56" s="86"/>
      <c r="BF56" s="86"/>
      <c r="BG56" s="86"/>
      <c r="BH56" s="24">
        <v>83.265218767539736</v>
      </c>
      <c r="BI56" s="24">
        <v>7.9885246784401316</v>
      </c>
      <c r="BJ56" s="24">
        <v>8.74625655402013</v>
      </c>
      <c r="BK56" s="25">
        <v>16.734781232460261</v>
      </c>
      <c r="BL56" s="215" t="s">
        <v>552</v>
      </c>
      <c r="BN56" s="218">
        <v>0.23574207001272501</v>
      </c>
      <c r="BO56" s="218">
        <v>4.0727518770083302</v>
      </c>
      <c r="BP56" s="218">
        <v>7.9696923649997</v>
      </c>
      <c r="BQ56" s="218">
        <v>6.13477220924905</v>
      </c>
      <c r="BR56" s="218">
        <v>2.5908657385220102</v>
      </c>
      <c r="BS56" s="220" t="s">
        <v>220</v>
      </c>
      <c r="BT56" s="221" t="s">
        <v>220</v>
      </c>
      <c r="BU56" s="221" t="s">
        <v>220</v>
      </c>
      <c r="BV56" s="221" t="s">
        <v>220</v>
      </c>
      <c r="BW56" s="222" t="s">
        <v>220</v>
      </c>
      <c r="BX56" s="220">
        <v>0.23574207001272501</v>
      </c>
      <c r="BY56" s="221">
        <v>4.0727518770083302</v>
      </c>
      <c r="BZ56" s="221">
        <v>7.9696923649997</v>
      </c>
      <c r="CA56" s="221">
        <v>6.13477220924905</v>
      </c>
      <c r="CB56" s="222">
        <v>2.5908657385220102</v>
      </c>
      <c r="CC56" s="223">
        <v>0.53763292100000004</v>
      </c>
      <c r="CD56" s="224">
        <v>2.8811181719999999</v>
      </c>
      <c r="CE56" s="224">
        <v>5.2798468859999996</v>
      </c>
      <c r="CF56" s="224">
        <v>3.990006137</v>
      </c>
      <c r="CG56" s="225">
        <v>1.6254862999999999</v>
      </c>
      <c r="CH56" s="26" t="s">
        <v>220</v>
      </c>
      <c r="CI56" s="8" t="s">
        <v>220</v>
      </c>
      <c r="CJ56" s="8" t="s">
        <v>220</v>
      </c>
      <c r="CK56" s="8" t="s">
        <v>220</v>
      </c>
      <c r="CL56" s="68" t="s">
        <v>220</v>
      </c>
    </row>
    <row r="57" spans="1:90" ht="15" customHeight="1" x14ac:dyDescent="0.3">
      <c r="A57" t="s">
        <v>547</v>
      </c>
      <c r="B57" s="67" t="s">
        <v>680</v>
      </c>
      <c r="C57" s="83" t="s">
        <v>681</v>
      </c>
      <c r="D57" s="83" t="s">
        <v>682</v>
      </c>
      <c r="E57" s="205" t="s">
        <v>186</v>
      </c>
      <c r="F57" s="153" t="s">
        <v>1048</v>
      </c>
      <c r="G57" s="154" t="s">
        <v>211</v>
      </c>
      <c r="H57" s="198"/>
      <c r="I57" s="153"/>
      <c r="J57" s="154" t="s">
        <v>188</v>
      </c>
      <c r="K57" s="423" t="s">
        <v>188</v>
      </c>
      <c r="L57" s="199"/>
      <c r="M57" s="199"/>
      <c r="N57" s="199"/>
      <c r="O57" s="199"/>
      <c r="P57" s="199"/>
      <c r="Q57" s="199"/>
      <c r="R57" s="199"/>
      <c r="S57" s="126"/>
      <c r="T57" s="88"/>
      <c r="U57" s="88"/>
      <c r="V57" s="88"/>
      <c r="W57" s="88"/>
      <c r="X57" s="88"/>
      <c r="Y57" s="88"/>
      <c r="Z57" s="88"/>
      <c r="AA57" s="88"/>
      <c r="AB57" s="88"/>
      <c r="AC57" s="88"/>
      <c r="AD57" s="88"/>
      <c r="AE57" s="88"/>
      <c r="AF57" s="88"/>
      <c r="AG57" s="88"/>
      <c r="AH57" s="88"/>
      <c r="AI57" s="88"/>
      <c r="AJ57" s="88"/>
      <c r="AK57" s="88"/>
      <c r="AL57" s="71">
        <v>70.280009592012149</v>
      </c>
      <c r="AM57" s="71">
        <v>15.952255139718268</v>
      </c>
      <c r="AN57" s="71">
        <v>13.767735268269595</v>
      </c>
      <c r="AO57" s="72">
        <v>29.719990407987865</v>
      </c>
      <c r="AP57" s="87"/>
      <c r="AQ57" s="88"/>
      <c r="AR57" s="88"/>
      <c r="AS57" s="88"/>
      <c r="AT57" s="88"/>
      <c r="AU57" s="88"/>
      <c r="AV57" s="88"/>
      <c r="AW57" s="88"/>
      <c r="AX57" s="88"/>
      <c r="AY57" s="88"/>
      <c r="AZ57" s="88"/>
      <c r="BA57" s="88"/>
      <c r="BB57" s="88"/>
      <c r="BC57" s="88"/>
      <c r="BD57" s="88"/>
      <c r="BE57" s="88"/>
      <c r="BF57" s="88"/>
      <c r="BG57" s="88"/>
      <c r="BH57" s="24">
        <v>75.906884016782769</v>
      </c>
      <c r="BI57" s="24">
        <v>10.32538071494764</v>
      </c>
      <c r="BJ57" s="24">
        <v>13.767735268269595</v>
      </c>
      <c r="BK57" s="25">
        <v>24.093115983217235</v>
      </c>
      <c r="BL57" s="215" t="s">
        <v>552</v>
      </c>
      <c r="BN57" s="218">
        <v>0.44466588270855201</v>
      </c>
      <c r="BO57" s="218">
        <v>5.60185363394082</v>
      </c>
      <c r="BP57" s="218">
        <v>10.279467269648499</v>
      </c>
      <c r="BQ57" s="218">
        <v>9.0636007708800292</v>
      </c>
      <c r="BR57" s="218">
        <v>4.6429140758299399</v>
      </c>
      <c r="BS57" s="220" t="s">
        <v>220</v>
      </c>
      <c r="BT57" s="221" t="s">
        <v>220</v>
      </c>
      <c r="BU57" s="221" t="s">
        <v>220</v>
      </c>
      <c r="BV57" s="221" t="s">
        <v>220</v>
      </c>
      <c r="BW57" s="222" t="s">
        <v>220</v>
      </c>
      <c r="BX57" s="220">
        <v>0.44466588270855201</v>
      </c>
      <c r="BY57" s="221">
        <v>5.60185363394082</v>
      </c>
      <c r="BZ57" s="221">
        <v>10.279467269648499</v>
      </c>
      <c r="CA57" s="221">
        <v>9.0636007708800292</v>
      </c>
      <c r="CB57" s="222">
        <v>4.6429140758299399</v>
      </c>
      <c r="CC57" s="223">
        <v>1.1536151290000001</v>
      </c>
      <c r="CD57" s="224">
        <v>4.0245292709999996</v>
      </c>
      <c r="CE57" s="224">
        <v>6.8113478279999997</v>
      </c>
      <c r="CF57" s="224">
        <v>5.878914934</v>
      </c>
      <c r="CG57" s="225">
        <v>2.9570286870000002</v>
      </c>
      <c r="CH57" s="26" t="s">
        <v>220</v>
      </c>
      <c r="CI57" s="8" t="s">
        <v>220</v>
      </c>
      <c r="CJ57" s="8" t="s">
        <v>220</v>
      </c>
      <c r="CK57" s="8" t="s">
        <v>220</v>
      </c>
      <c r="CL57" s="68" t="s">
        <v>220</v>
      </c>
    </row>
    <row r="58" spans="1:90" ht="15" customHeight="1" x14ac:dyDescent="0.3">
      <c r="A58" t="s">
        <v>547</v>
      </c>
      <c r="B58" s="67" t="s">
        <v>580</v>
      </c>
      <c r="C58" s="67" t="s">
        <v>674</v>
      </c>
      <c r="D58" s="67" t="s">
        <v>675</v>
      </c>
      <c r="E58" s="205" t="s">
        <v>186</v>
      </c>
      <c r="F58" s="153" t="s">
        <v>1048</v>
      </c>
      <c r="G58" s="154" t="s">
        <v>211</v>
      </c>
      <c r="H58" s="198"/>
      <c r="I58" s="153"/>
      <c r="J58" s="154" t="s">
        <v>188</v>
      </c>
      <c r="K58" s="423" t="s">
        <v>188</v>
      </c>
      <c r="L58" s="199"/>
      <c r="M58" s="199"/>
      <c r="N58" s="199"/>
      <c r="O58" s="199"/>
      <c r="P58" s="199"/>
      <c r="Q58" s="199"/>
      <c r="R58" s="199"/>
      <c r="S58" s="126"/>
      <c r="T58" s="86"/>
      <c r="U58" s="86"/>
      <c r="V58" s="86"/>
      <c r="W58" s="86"/>
      <c r="X58" s="86"/>
      <c r="Y58" s="86"/>
      <c r="Z58" s="86"/>
      <c r="AA58" s="86"/>
      <c r="AB58" s="86"/>
      <c r="AC58" s="86"/>
      <c r="AD58" s="86"/>
      <c r="AE58" s="86"/>
      <c r="AF58" s="86"/>
      <c r="AG58" s="86"/>
      <c r="AH58" s="86"/>
      <c r="AI58" s="86"/>
      <c r="AJ58" s="86"/>
      <c r="AK58" s="86"/>
      <c r="AL58" s="71">
        <v>71.003393725822576</v>
      </c>
      <c r="AM58" s="71">
        <v>16.756012877671843</v>
      </c>
      <c r="AN58" s="71">
        <v>12.240593396505577</v>
      </c>
      <c r="AO58" s="72">
        <v>28.99660627417742</v>
      </c>
      <c r="AP58" s="69"/>
      <c r="AQ58" s="86"/>
      <c r="AR58" s="86"/>
      <c r="AS58" s="86"/>
      <c r="AT58" s="86"/>
      <c r="AU58" s="86"/>
      <c r="AV58" s="86"/>
      <c r="AW58" s="86"/>
      <c r="AX58" s="86"/>
      <c r="AY58" s="86"/>
      <c r="AZ58" s="86"/>
      <c r="BA58" s="86"/>
      <c r="BB58" s="86"/>
      <c r="BC58" s="86"/>
      <c r="BD58" s="86"/>
      <c r="BE58" s="86"/>
      <c r="BF58" s="86"/>
      <c r="BG58" s="86"/>
      <c r="BH58" s="24">
        <v>76.987468750428846</v>
      </c>
      <c r="BI58" s="24">
        <v>10.771937853065577</v>
      </c>
      <c r="BJ58" s="24">
        <v>12.240593396505577</v>
      </c>
      <c r="BK58" s="25">
        <v>23.012531249571154</v>
      </c>
      <c r="BL58" s="215" t="s">
        <v>552</v>
      </c>
      <c r="BN58" s="218">
        <v>0.32087864771090802</v>
      </c>
      <c r="BO58" s="218">
        <v>5.9648734055892998</v>
      </c>
      <c r="BP58" s="218">
        <v>10.737373004550401</v>
      </c>
      <c r="BQ58" s="218">
        <v>8.4895843765879206</v>
      </c>
      <c r="BR58" s="218">
        <v>3.7117315693551598</v>
      </c>
      <c r="BS58" s="220" t="s">
        <v>220</v>
      </c>
      <c r="BT58" s="221" t="s">
        <v>220</v>
      </c>
      <c r="BU58" s="221" t="s">
        <v>220</v>
      </c>
      <c r="BV58" s="221" t="s">
        <v>220</v>
      </c>
      <c r="BW58" s="222" t="s">
        <v>220</v>
      </c>
      <c r="BX58" s="220">
        <v>0.32087864771090802</v>
      </c>
      <c r="BY58" s="221">
        <v>5.9648734055892998</v>
      </c>
      <c r="BZ58" s="221">
        <v>10.737373004550401</v>
      </c>
      <c r="CA58" s="221">
        <v>8.4895843765879206</v>
      </c>
      <c r="CB58" s="222">
        <v>3.7117315693551598</v>
      </c>
      <c r="CC58" s="223">
        <v>0.56015821399999999</v>
      </c>
      <c r="CD58" s="224">
        <v>4.540101988</v>
      </c>
      <c r="CE58" s="224">
        <v>7.908583653</v>
      </c>
      <c r="CF58" s="224">
        <v>6.1580996969999999</v>
      </c>
      <c r="CG58" s="225">
        <v>2.6233825249999998</v>
      </c>
      <c r="CH58" s="26" t="s">
        <v>220</v>
      </c>
      <c r="CI58" s="8" t="s">
        <v>220</v>
      </c>
      <c r="CJ58" s="8" t="s">
        <v>220</v>
      </c>
      <c r="CK58" s="8" t="s">
        <v>220</v>
      </c>
      <c r="CL58" s="68" t="s">
        <v>220</v>
      </c>
    </row>
    <row r="59" spans="1:90" ht="15" customHeight="1" x14ac:dyDescent="0.3">
      <c r="I59" s="198"/>
      <c r="J59" s="126"/>
      <c r="K59" s="427"/>
      <c r="L59" s="126"/>
      <c r="M59" s="126"/>
      <c r="N59" s="126"/>
      <c r="O59" s="126"/>
      <c r="P59" s="126"/>
      <c r="Q59" s="126"/>
      <c r="R59" s="126"/>
    </row>
    <row r="60" spans="1:90" ht="15" customHeight="1" x14ac:dyDescent="0.3">
      <c r="I60" s="198"/>
      <c r="J60" s="126"/>
      <c r="K60" s="427"/>
      <c r="L60" s="126"/>
      <c r="M60" s="126"/>
      <c r="N60" s="126"/>
      <c r="O60" s="126"/>
      <c r="P60" s="126"/>
      <c r="Q60" s="126"/>
      <c r="R60" s="126"/>
    </row>
    <row r="61" spans="1:90" ht="15" customHeight="1" x14ac:dyDescent="0.3">
      <c r="I61" s="198"/>
      <c r="J61" s="126"/>
      <c r="K61" s="427"/>
      <c r="L61" s="126"/>
      <c r="M61" s="126"/>
      <c r="N61" s="126"/>
      <c r="O61" s="126"/>
      <c r="P61" s="126"/>
      <c r="Q61" s="126"/>
      <c r="R61" s="126"/>
    </row>
    <row r="62" spans="1:90" ht="15" customHeight="1" x14ac:dyDescent="0.3">
      <c r="I62" s="198"/>
      <c r="J62" s="126"/>
      <c r="K62" s="427"/>
      <c r="L62" s="126"/>
      <c r="M62" s="126"/>
      <c r="N62" s="126"/>
      <c r="O62" s="126"/>
      <c r="P62" s="126"/>
      <c r="Q62" s="126"/>
      <c r="R62" s="126"/>
    </row>
    <row r="63" spans="1:90" ht="15" customHeight="1" x14ac:dyDescent="0.3">
      <c r="I63" s="198"/>
      <c r="J63" s="126"/>
      <c r="K63" s="427"/>
      <c r="L63" s="126"/>
      <c r="M63" s="126"/>
      <c r="N63" s="126"/>
      <c r="O63" s="126"/>
      <c r="P63" s="126"/>
      <c r="Q63" s="126"/>
      <c r="R63" s="126"/>
    </row>
    <row r="64" spans="1:90" ht="15" customHeight="1" x14ac:dyDescent="0.3">
      <c r="I64" s="198"/>
      <c r="J64" s="126"/>
      <c r="K64" s="427"/>
      <c r="L64" s="126"/>
      <c r="M64" s="126"/>
      <c r="N64" s="126"/>
      <c r="O64" s="126"/>
      <c r="P64" s="126"/>
      <c r="Q64" s="126"/>
      <c r="R64" s="126"/>
    </row>
    <row r="65" spans="9:18" ht="15" customHeight="1" x14ac:dyDescent="0.3">
      <c r="I65" s="198"/>
      <c r="J65" s="126"/>
      <c r="K65" s="427"/>
      <c r="L65" s="126"/>
      <c r="M65" s="126"/>
      <c r="N65" s="126"/>
      <c r="O65" s="126"/>
      <c r="P65" s="126"/>
      <c r="Q65" s="126"/>
      <c r="R65" s="126"/>
    </row>
    <row r="66" spans="9:18" ht="15" customHeight="1" x14ac:dyDescent="0.3">
      <c r="I66" s="198"/>
      <c r="J66" s="126"/>
      <c r="K66" s="427"/>
      <c r="L66" s="126"/>
      <c r="M66" s="126"/>
      <c r="N66" s="126"/>
      <c r="O66" s="126"/>
      <c r="P66" s="126"/>
      <c r="Q66" s="126"/>
      <c r="R66" s="126"/>
    </row>
    <row r="67" spans="9:18" ht="15" customHeight="1" x14ac:dyDescent="0.3">
      <c r="I67" s="198"/>
      <c r="J67" s="126"/>
      <c r="K67" s="427"/>
      <c r="L67" s="126"/>
      <c r="M67" s="126"/>
      <c r="N67" s="126"/>
      <c r="O67" s="126"/>
      <c r="P67" s="126"/>
      <c r="Q67" s="126"/>
      <c r="R67" s="126"/>
    </row>
  </sheetData>
  <autoFilter ref="A2:KW58" xr:uid="{5D775A39-52A8-4B03-9323-5C8DA25B9F3F}"/>
  <sortState xmlns:xlrd2="http://schemas.microsoft.com/office/spreadsheetml/2017/richdata2" ref="A3:KW58">
    <sortCondition ref="D3:D58"/>
  </sortState>
  <mergeCells count="10">
    <mergeCell ref="L1:O1"/>
    <mergeCell ref="CH1:CL1"/>
    <mergeCell ref="BX1:CB1"/>
    <mergeCell ref="BS1:BW1"/>
    <mergeCell ref="CC1:CG1"/>
    <mergeCell ref="T1:AK1"/>
    <mergeCell ref="AL1:AO1"/>
    <mergeCell ref="AP1:BG1"/>
    <mergeCell ref="BH1:BK1"/>
    <mergeCell ref="BN1:BR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0DE6-220D-497C-8197-FE5AA3FA3C19}">
  <dimension ref="A1:CR72"/>
  <sheetViews>
    <sheetView zoomScale="60" zoomScaleNormal="60" workbookViewId="0">
      <pane xSplit="6" ySplit="2" topLeftCell="BU3" activePane="bottomRight" state="frozen"/>
      <selection pane="topRight" activeCell="G1" sqref="G1"/>
      <selection pane="bottomLeft" activeCell="A3" sqref="A3"/>
      <selection pane="bottomRight" activeCell="CC1" sqref="CC1:CD1048576"/>
    </sheetView>
  </sheetViews>
  <sheetFormatPr defaultRowHeight="14.4" x14ac:dyDescent="0.3"/>
  <cols>
    <col min="1" max="1" width="9.44140625" style="207" bestFit="1" customWidth="1"/>
    <col min="2" max="2" width="17.21875" style="146" bestFit="1" customWidth="1"/>
    <col min="3" max="3" width="36.44140625" style="146" customWidth="1"/>
    <col min="4" max="4" width="38.88671875" style="146" bestFit="1" customWidth="1"/>
    <col min="5" max="5" width="13.44140625" style="128" customWidth="1"/>
    <col min="6" max="6" width="49.44140625" style="128" customWidth="1"/>
    <col min="7" max="7" width="7.88671875" style="128" customWidth="1"/>
    <col min="8" max="8" width="13.44140625" style="128" customWidth="1"/>
    <col min="9" max="12" width="7.88671875" style="128" customWidth="1"/>
    <col min="13" max="13" width="7.88671875" style="414" customWidth="1"/>
    <col min="14" max="15" width="7.88671875" style="128" customWidth="1"/>
    <col min="16" max="16" width="9.44140625" style="128" customWidth="1"/>
    <col min="17" max="19" width="7.88671875" style="128" customWidth="1"/>
    <col min="20" max="21" width="12.33203125" style="41" customWidth="1"/>
    <col min="22" max="37" width="9.6640625" style="41" customWidth="1"/>
    <col min="38" max="40" width="8.88671875" style="41"/>
    <col min="41" max="41" width="8.88671875" style="29"/>
    <col min="42" max="59" width="11.33203125" customWidth="1"/>
    <col min="60" max="60" width="11.33203125" style="278" customWidth="1"/>
    <col min="61" max="62" width="8.88671875" style="278"/>
    <col min="63" max="63" width="8.88671875" style="81"/>
    <col min="64" max="64" width="25.6640625" style="599" bestFit="1" customWidth="1"/>
    <col min="65" max="65" width="15.33203125" style="29" customWidth="1"/>
    <col min="66" max="66" width="10.88671875" style="455" customWidth="1"/>
    <col min="67" max="70" width="10.88671875" style="456" customWidth="1"/>
    <col min="71" max="71" width="11.6640625" style="26" customWidth="1"/>
    <col min="72" max="74" width="11.6640625" style="77" customWidth="1"/>
    <col min="75" max="75" width="11.6640625" style="68" customWidth="1"/>
    <col min="76" max="79" width="10.44140625" style="148" customWidth="1"/>
    <col min="80" max="80" width="10.44140625" style="161" customWidth="1"/>
  </cols>
  <sheetData>
    <row r="1" spans="1:80" s="14" customFormat="1" ht="55.95" customHeight="1" thickBot="1" x14ac:dyDescent="0.35">
      <c r="A1" s="292"/>
      <c r="B1" s="293"/>
      <c r="C1" s="293"/>
      <c r="D1" s="293"/>
      <c r="E1" s="128"/>
      <c r="F1" s="128"/>
      <c r="G1" s="128"/>
      <c r="H1" s="128"/>
      <c r="I1" s="288"/>
      <c r="J1" s="128"/>
      <c r="K1" s="128"/>
      <c r="L1" s="689" t="s">
        <v>1093</v>
      </c>
      <c r="M1" s="690"/>
      <c r="N1" s="690"/>
      <c r="O1" s="691"/>
      <c r="P1" s="425"/>
      <c r="Q1" s="425"/>
      <c r="R1" s="156"/>
      <c r="S1" s="128"/>
      <c r="T1" s="692" t="s">
        <v>1282</v>
      </c>
      <c r="U1" s="693"/>
      <c r="V1" s="693"/>
      <c r="W1" s="693"/>
      <c r="X1" s="693"/>
      <c r="Y1" s="693"/>
      <c r="Z1" s="693"/>
      <c r="AA1" s="693"/>
      <c r="AB1" s="693"/>
      <c r="AC1" s="693"/>
      <c r="AD1" s="693"/>
      <c r="AE1" s="693"/>
      <c r="AF1" s="693"/>
      <c r="AG1" s="693"/>
      <c r="AH1" s="693"/>
      <c r="AI1" s="693"/>
      <c r="AJ1" s="693"/>
      <c r="AK1" s="693"/>
      <c r="AL1" s="698" t="s">
        <v>1279</v>
      </c>
      <c r="AM1" s="698"/>
      <c r="AN1" s="698"/>
      <c r="AO1" s="699"/>
      <c r="AP1" s="697" t="s">
        <v>893</v>
      </c>
      <c r="AQ1" s="697"/>
      <c r="AR1" s="697"/>
      <c r="AS1" s="697"/>
      <c r="AT1" s="697"/>
      <c r="AU1" s="697"/>
      <c r="AV1" s="697"/>
      <c r="AW1" s="697"/>
      <c r="AX1" s="697"/>
      <c r="AY1" s="697"/>
      <c r="AZ1" s="697"/>
      <c r="BA1" s="697"/>
      <c r="BB1" s="697"/>
      <c r="BC1" s="697"/>
      <c r="BD1" s="697"/>
      <c r="BE1" s="697"/>
      <c r="BF1" s="697"/>
      <c r="BG1" s="697"/>
      <c r="BH1" s="700" t="s">
        <v>1278</v>
      </c>
      <c r="BI1" s="700"/>
      <c r="BJ1" s="700"/>
      <c r="BK1" s="701"/>
      <c r="BL1" s="597"/>
      <c r="BM1" s="213"/>
      <c r="BN1" s="686" t="s">
        <v>1110</v>
      </c>
      <c r="BO1" s="687"/>
      <c r="BP1" s="687"/>
      <c r="BQ1" s="687"/>
      <c r="BR1" s="688"/>
      <c r="BS1" s="679" t="s">
        <v>872</v>
      </c>
      <c r="BT1" s="672"/>
      <c r="BU1" s="672"/>
      <c r="BV1" s="672"/>
      <c r="BW1" s="673"/>
      <c r="BX1" s="694" t="s">
        <v>871</v>
      </c>
      <c r="BY1" s="695"/>
      <c r="BZ1" s="695"/>
      <c r="CA1" s="695"/>
      <c r="CB1" s="696"/>
    </row>
    <row r="2" spans="1:80" s="38" customFormat="1" ht="69" customHeight="1" thickBot="1" x14ac:dyDescent="0.35">
      <c r="A2" s="294" t="s">
        <v>0</v>
      </c>
      <c r="B2" s="170" t="s">
        <v>1</v>
      </c>
      <c r="C2" s="170" t="s">
        <v>2</v>
      </c>
      <c r="D2" s="476" t="s">
        <v>3</v>
      </c>
      <c r="E2" s="473" t="s">
        <v>357</v>
      </c>
      <c r="F2" s="474" t="s">
        <v>1103</v>
      </c>
      <c r="G2" s="473" t="s">
        <v>352</v>
      </c>
      <c r="H2" s="421" t="s">
        <v>1107</v>
      </c>
      <c r="I2" s="173" t="s">
        <v>1106</v>
      </c>
      <c r="J2" s="401" t="s">
        <v>735</v>
      </c>
      <c r="K2" s="401" t="s">
        <v>162</v>
      </c>
      <c r="L2" s="421" t="s">
        <v>895</v>
      </c>
      <c r="M2" s="459" t="s">
        <v>896</v>
      </c>
      <c r="N2" s="421" t="s">
        <v>897</v>
      </c>
      <c r="O2" s="421" t="s">
        <v>898</v>
      </c>
      <c r="P2" s="421" t="s">
        <v>969</v>
      </c>
      <c r="Q2" s="421" t="s">
        <v>908</v>
      </c>
      <c r="R2" s="421" t="s">
        <v>909</v>
      </c>
      <c r="S2" s="401" t="s">
        <v>894</v>
      </c>
      <c r="T2" s="2" t="s">
        <v>4</v>
      </c>
      <c r="U2" s="2" t="s">
        <v>5</v>
      </c>
      <c r="V2" s="2" t="s">
        <v>6</v>
      </c>
      <c r="W2" s="3" t="s">
        <v>7</v>
      </c>
      <c r="X2" s="3" t="s">
        <v>5</v>
      </c>
      <c r="Y2" s="3" t="s">
        <v>6</v>
      </c>
      <c r="Z2" s="4" t="s">
        <v>8</v>
      </c>
      <c r="AA2" s="4" t="s">
        <v>5</v>
      </c>
      <c r="AB2" s="4" t="s">
        <v>6</v>
      </c>
      <c r="AC2" s="5" t="s">
        <v>9</v>
      </c>
      <c r="AD2" s="5" t="s">
        <v>5</v>
      </c>
      <c r="AE2" s="5" t="s">
        <v>6</v>
      </c>
      <c r="AF2" s="6" t="s">
        <v>10</v>
      </c>
      <c r="AG2" s="6" t="s">
        <v>5</v>
      </c>
      <c r="AH2" s="6" t="s">
        <v>11</v>
      </c>
      <c r="AI2" s="6" t="s">
        <v>12</v>
      </c>
      <c r="AJ2" s="6" t="s">
        <v>5</v>
      </c>
      <c r="AK2" s="6" t="s">
        <v>6</v>
      </c>
      <c r="AL2" s="47" t="s">
        <v>172</v>
      </c>
      <c r="AM2" s="47" t="s">
        <v>173</v>
      </c>
      <c r="AN2" s="47" t="s">
        <v>174</v>
      </c>
      <c r="AO2" s="48" t="s">
        <v>175</v>
      </c>
      <c r="AP2" s="526" t="s">
        <v>4</v>
      </c>
      <c r="AQ2" s="526" t="s">
        <v>5</v>
      </c>
      <c r="AR2" s="526" t="s">
        <v>6</v>
      </c>
      <c r="AS2" s="3" t="s">
        <v>7</v>
      </c>
      <c r="AT2" s="3" t="s">
        <v>5</v>
      </c>
      <c r="AU2" s="3" t="s">
        <v>6</v>
      </c>
      <c r="AV2" s="4" t="s">
        <v>8</v>
      </c>
      <c r="AW2" s="4" t="s">
        <v>5</v>
      </c>
      <c r="AX2" s="4" t="s">
        <v>6</v>
      </c>
      <c r="AY2" s="5" t="s">
        <v>9</v>
      </c>
      <c r="AZ2" s="5" t="s">
        <v>5</v>
      </c>
      <c r="BA2" s="5" t="s">
        <v>6</v>
      </c>
      <c r="BB2" s="6" t="s">
        <v>10</v>
      </c>
      <c r="BC2" s="6" t="s">
        <v>5</v>
      </c>
      <c r="BD2" s="6" t="s">
        <v>11</v>
      </c>
      <c r="BE2" s="6" t="s">
        <v>12</v>
      </c>
      <c r="BF2" s="6" t="s">
        <v>5</v>
      </c>
      <c r="BG2" s="6" t="s">
        <v>6</v>
      </c>
      <c r="BH2" s="42" t="s">
        <v>168</v>
      </c>
      <c r="BI2" s="42" t="s">
        <v>169</v>
      </c>
      <c r="BJ2" s="42" t="s">
        <v>170</v>
      </c>
      <c r="BK2" s="43" t="s">
        <v>171</v>
      </c>
      <c r="BL2" s="598" t="s">
        <v>694</v>
      </c>
      <c r="BM2" s="214" t="s">
        <v>744</v>
      </c>
      <c r="BN2" s="447" t="s">
        <v>1098</v>
      </c>
      <c r="BO2" s="448" t="s">
        <v>1099</v>
      </c>
      <c r="BP2" s="448" t="s">
        <v>1100</v>
      </c>
      <c r="BQ2" s="448" t="s">
        <v>1101</v>
      </c>
      <c r="BR2" s="448" t="s">
        <v>1102</v>
      </c>
      <c r="BS2" s="26">
        <v>0.26205105299999998</v>
      </c>
      <c r="BT2" s="77">
        <v>6.550851046</v>
      </c>
      <c r="BU2" s="77">
        <v>11.81238346</v>
      </c>
      <c r="BV2" s="77">
        <v>7.4968110860000001</v>
      </c>
      <c r="BW2" s="68">
        <v>1.1497047730000001</v>
      </c>
      <c r="BX2" s="176" t="s">
        <v>75</v>
      </c>
      <c r="BY2" s="176" t="s">
        <v>76</v>
      </c>
      <c r="BZ2" s="176" t="s">
        <v>77</v>
      </c>
      <c r="CA2" s="176" t="s">
        <v>78</v>
      </c>
      <c r="CB2" s="286" t="s">
        <v>79</v>
      </c>
    </row>
    <row r="3" spans="1:80" ht="15" customHeight="1" x14ac:dyDescent="0.3">
      <c r="A3" s="207" t="s">
        <v>181</v>
      </c>
      <c r="B3" s="295" t="s">
        <v>182</v>
      </c>
      <c r="C3" s="146" t="s">
        <v>183</v>
      </c>
      <c r="D3" s="146" t="s">
        <v>184</v>
      </c>
      <c r="E3" s="291" t="s">
        <v>186</v>
      </c>
      <c r="F3" s="291" t="s">
        <v>975</v>
      </c>
      <c r="G3" s="128" t="s">
        <v>185</v>
      </c>
      <c r="H3" s="279" t="s">
        <v>189</v>
      </c>
      <c r="I3" s="289"/>
      <c r="J3" s="129" t="s">
        <v>187</v>
      </c>
      <c r="K3" s="135" t="s">
        <v>188</v>
      </c>
      <c r="L3" s="135"/>
      <c r="M3" s="460" t="s">
        <v>971</v>
      </c>
      <c r="N3" s="135"/>
      <c r="O3" s="135"/>
      <c r="P3" s="135">
        <v>180340</v>
      </c>
      <c r="Q3" s="135">
        <v>3648</v>
      </c>
      <c r="R3" s="135"/>
      <c r="S3" s="126">
        <v>27</v>
      </c>
      <c r="T3" s="114">
        <v>-2.3522176428605803</v>
      </c>
      <c r="U3" s="114">
        <v>-3.8401357828138458</v>
      </c>
      <c r="V3" s="114">
        <v>-0.73035574260558178</v>
      </c>
      <c r="W3" s="115">
        <v>-2.7620877274086695</v>
      </c>
      <c r="X3" s="115">
        <v>-11.123922939717644</v>
      </c>
      <c r="Y3" s="115">
        <v>6.8216911035262342</v>
      </c>
      <c r="Z3" s="290">
        <v>-1.1570045654916044</v>
      </c>
      <c r="AA3" s="290">
        <v>-13.687776025475287</v>
      </c>
      <c r="AB3" s="290">
        <v>12.31530113200867</v>
      </c>
      <c r="AC3" s="283">
        <v>0</v>
      </c>
      <c r="AD3" s="283">
        <v>0</v>
      </c>
      <c r="AE3" s="283">
        <v>0</v>
      </c>
      <c r="AF3" s="284">
        <v>-1.4285714285714306</v>
      </c>
      <c r="AG3" s="284">
        <v>-8.1269841269841265</v>
      </c>
      <c r="AH3" s="284">
        <v>7.4920634920634939</v>
      </c>
      <c r="AI3" s="285">
        <v>-0.7142857142857082</v>
      </c>
      <c r="AJ3" s="285">
        <v>-11.507936507936506</v>
      </c>
      <c r="AK3" s="285">
        <v>12.69841269841271</v>
      </c>
      <c r="AL3" s="61">
        <v>91.207019963004612</v>
      </c>
      <c r="AM3" s="61">
        <v>6.1121081349111979</v>
      </c>
      <c r="AN3" s="61">
        <v>2.6808719020841889</v>
      </c>
      <c r="AO3" s="581">
        <v>8.7929800369953863</v>
      </c>
      <c r="AP3" s="114">
        <v>-1.8914789333257573</v>
      </c>
      <c r="AQ3" s="114">
        <v>-3.0105971538554428</v>
      </c>
      <c r="AR3" s="114">
        <v>-0.65957332180971662</v>
      </c>
      <c r="AS3" s="30">
        <v>-2.5481733265532256</v>
      </c>
      <c r="AT3" s="30">
        <v>-10.519323991658808</v>
      </c>
      <c r="AU3" s="580">
        <v>6.9176337787817062</v>
      </c>
      <c r="AV3" s="585">
        <v>-1.0911847498437623</v>
      </c>
      <c r="AW3" s="585">
        <v>-13.269196413544947</v>
      </c>
      <c r="AX3" s="586">
        <v>12.353081460364876</v>
      </c>
      <c r="AY3" s="283">
        <v>0</v>
      </c>
      <c r="AZ3" s="283">
        <v>0</v>
      </c>
      <c r="BA3" s="283">
        <v>0</v>
      </c>
      <c r="BB3" s="284">
        <v>-1.4285714285714306</v>
      </c>
      <c r="BC3" s="284">
        <v>-8.1269841269841265</v>
      </c>
      <c r="BD3" s="284">
        <v>7.4920634920634939</v>
      </c>
      <c r="BE3" s="285">
        <v>-0.7142857142857082</v>
      </c>
      <c r="BF3" s="285">
        <v>-11.507936507936506</v>
      </c>
      <c r="BG3" s="285">
        <v>12.69841269841271</v>
      </c>
      <c r="BH3" s="25">
        <v>93.510713510678769</v>
      </c>
      <c r="BI3" s="25">
        <v>3.8084145872370327</v>
      </c>
      <c r="BJ3" s="25">
        <v>2.6808719020841889</v>
      </c>
      <c r="BK3" s="24">
        <v>6.4892864893212217</v>
      </c>
      <c r="BL3" s="216" t="s">
        <v>1097</v>
      </c>
      <c r="BN3" s="8">
        <v>0.102973144</v>
      </c>
      <c r="BO3" s="8">
        <v>2.3013213619999999</v>
      </c>
      <c r="BP3" s="8">
        <v>3.8044929430000001</v>
      </c>
      <c r="BQ3" s="8">
        <v>2.0669262559999999</v>
      </c>
      <c r="BR3" s="8">
        <v>0.61118506800000005</v>
      </c>
      <c r="BS3" s="26">
        <v>1.4351050000000001E-3</v>
      </c>
      <c r="BT3" s="77">
        <v>2.4800247209999999</v>
      </c>
      <c r="BU3" s="77">
        <v>7.5368396930000001</v>
      </c>
      <c r="BV3" s="77">
        <v>3.5306593629999998</v>
      </c>
      <c r="BW3" s="68">
        <v>7.9688362999999998E-2</v>
      </c>
      <c r="BX3" s="582">
        <v>0.11139041700000001</v>
      </c>
      <c r="BY3" s="582">
        <v>2.6225558910000002</v>
      </c>
      <c r="BZ3" s="582">
        <v>4.3350572559999998</v>
      </c>
      <c r="CA3" s="582">
        <v>2.5169563400000001</v>
      </c>
      <c r="CB3" s="582">
        <v>0.59225724800000001</v>
      </c>
    </row>
    <row r="4" spans="1:80" ht="15" customHeight="1" x14ac:dyDescent="0.3">
      <c r="A4" s="207" t="s">
        <v>181</v>
      </c>
      <c r="B4" s="295" t="s">
        <v>182</v>
      </c>
      <c r="C4" s="146" t="s">
        <v>190</v>
      </c>
      <c r="D4" s="146" t="s">
        <v>191</v>
      </c>
      <c r="E4" s="291" t="s">
        <v>186</v>
      </c>
      <c r="F4" s="291" t="s">
        <v>976</v>
      </c>
      <c r="G4" s="128" t="s">
        <v>185</v>
      </c>
      <c r="H4" s="279" t="s">
        <v>189</v>
      </c>
      <c r="J4" s="129" t="s">
        <v>192</v>
      </c>
      <c r="K4" s="135"/>
      <c r="L4" s="135"/>
      <c r="M4" s="461"/>
      <c r="N4" s="135"/>
      <c r="O4" s="135"/>
      <c r="P4" s="135"/>
      <c r="Q4" s="135"/>
      <c r="R4" s="135"/>
      <c r="S4" s="126">
        <v>28</v>
      </c>
      <c r="T4" s="114">
        <v>-2.3705558301880245</v>
      </c>
      <c r="U4" s="114">
        <v>-3.9194627098083856</v>
      </c>
      <c r="V4" s="114">
        <v>-0.68990420505265604</v>
      </c>
      <c r="W4" s="115">
        <v>-2.7422927800009376</v>
      </c>
      <c r="X4" s="115">
        <v>-11.158509159076516</v>
      </c>
      <c r="Y4" s="115">
        <v>6.8390448076315096</v>
      </c>
      <c r="Z4" s="290">
        <v>-1.1471137668604001</v>
      </c>
      <c r="AA4" s="290">
        <v>-13.699410607324452</v>
      </c>
      <c r="AB4" s="290">
        <v>12.336104488311889</v>
      </c>
      <c r="AC4" s="283">
        <v>0</v>
      </c>
      <c r="AD4" s="283">
        <v>0</v>
      </c>
      <c r="AE4" s="283">
        <v>0</v>
      </c>
      <c r="AF4" s="284">
        <v>-1.4285714285714306</v>
      </c>
      <c r="AG4" s="284">
        <v>-8.1269841269841265</v>
      </c>
      <c r="AH4" s="284">
        <v>7.4920634920634939</v>
      </c>
      <c r="AI4" s="285">
        <v>-0.7142857142857082</v>
      </c>
      <c r="AJ4" s="285">
        <v>-11.507936507936506</v>
      </c>
      <c r="AK4" s="285">
        <v>12.69841269841271</v>
      </c>
      <c r="AL4" s="61">
        <v>86.372592292390621</v>
      </c>
      <c r="AM4" s="61">
        <v>10.017008168585079</v>
      </c>
      <c r="AN4" s="61">
        <v>3.610399539024304</v>
      </c>
      <c r="AO4" s="581">
        <v>13.627407707609382</v>
      </c>
      <c r="AP4" s="114">
        <v>-1.8865348140227809</v>
      </c>
      <c r="AQ4" s="114">
        <v>-3.0480053700460132</v>
      </c>
      <c r="AR4" s="114">
        <v>-0.61554496730843766</v>
      </c>
      <c r="AS4" s="30">
        <v>-2.5175687367813708</v>
      </c>
      <c r="AT4" s="30">
        <v>-10.523358278206672</v>
      </c>
      <c r="AU4" s="580">
        <v>6.9398357119113996</v>
      </c>
      <c r="AV4" s="585">
        <v>-1.0779679074082225</v>
      </c>
      <c r="AW4" s="585">
        <v>-13.25967909590635</v>
      </c>
      <c r="AX4" s="586">
        <v>12.375793953389604</v>
      </c>
      <c r="AY4" s="283">
        <v>0</v>
      </c>
      <c r="AZ4" s="283">
        <v>0</v>
      </c>
      <c r="BA4" s="283">
        <v>0</v>
      </c>
      <c r="BB4" s="284">
        <v>-1.4285714285714306</v>
      </c>
      <c r="BC4" s="284">
        <v>-8.1269841269841265</v>
      </c>
      <c r="BD4" s="284">
        <v>7.4920634920634939</v>
      </c>
      <c r="BE4" s="285">
        <v>-0.7142857142857082</v>
      </c>
      <c r="BF4" s="285">
        <v>-11.507936507936506</v>
      </c>
      <c r="BG4" s="285">
        <v>12.69841269841271</v>
      </c>
      <c r="BH4" s="25">
        <v>88.852652604860168</v>
      </c>
      <c r="BI4" s="25">
        <v>7.536947856115531</v>
      </c>
      <c r="BJ4" s="25">
        <v>3.610399539024304</v>
      </c>
      <c r="BK4" s="24">
        <v>11.147347395139835</v>
      </c>
      <c r="BL4" s="216" t="s">
        <v>1097</v>
      </c>
      <c r="BN4" s="8">
        <v>1.4351050000000001E-3</v>
      </c>
      <c r="BO4" s="8">
        <v>2.4800247209999999</v>
      </c>
      <c r="BP4" s="8">
        <v>7.5368396930000001</v>
      </c>
      <c r="BQ4" s="8">
        <v>3.5306593629999998</v>
      </c>
      <c r="BR4" s="8">
        <v>7.9688362999999998E-2</v>
      </c>
      <c r="BS4" s="26">
        <v>4.3042504000000002E-2</v>
      </c>
      <c r="BT4" s="77">
        <v>2.4190634069999999</v>
      </c>
      <c r="BU4" s="77">
        <v>4.4441973099999998</v>
      </c>
      <c r="BV4" s="77">
        <v>1.8856145449999999</v>
      </c>
      <c r="BW4" s="68">
        <v>0.479871347</v>
      </c>
      <c r="BX4" s="582">
        <v>0</v>
      </c>
      <c r="BY4" s="582">
        <v>0</v>
      </c>
      <c r="BZ4" s="582">
        <v>0</v>
      </c>
      <c r="CA4" s="582">
        <v>0</v>
      </c>
      <c r="CB4" s="582">
        <v>0</v>
      </c>
    </row>
    <row r="5" spans="1:80" ht="15" customHeight="1" x14ac:dyDescent="0.3">
      <c r="A5" s="207" t="s">
        <v>181</v>
      </c>
      <c r="B5" s="295" t="s">
        <v>182</v>
      </c>
      <c r="C5" s="146" t="s">
        <v>193</v>
      </c>
      <c r="D5" s="146" t="s">
        <v>194</v>
      </c>
      <c r="E5" s="291" t="s">
        <v>186</v>
      </c>
      <c r="F5" s="291" t="s">
        <v>976</v>
      </c>
      <c r="G5" s="128" t="s">
        <v>185</v>
      </c>
      <c r="H5" s="279" t="s">
        <v>189</v>
      </c>
      <c r="J5" s="129" t="s">
        <v>192</v>
      </c>
      <c r="K5" s="135"/>
      <c r="L5" s="135"/>
      <c r="M5" s="461"/>
      <c r="N5" s="135"/>
      <c r="O5" s="135"/>
      <c r="P5" s="135"/>
      <c r="Q5" s="135"/>
      <c r="R5" s="135"/>
      <c r="S5" s="126">
        <v>29</v>
      </c>
      <c r="T5" s="114">
        <v>-3.5249271537343958</v>
      </c>
      <c r="U5" s="114">
        <v>-5.8146148137623896</v>
      </c>
      <c r="V5" s="114">
        <v>-1.0384549195969299</v>
      </c>
      <c r="W5" s="115">
        <v>-3.3902649125184041</v>
      </c>
      <c r="X5" s="115">
        <v>-12.631685097339371</v>
      </c>
      <c r="Y5" s="115">
        <v>6.5148871073174774</v>
      </c>
      <c r="Z5" s="290">
        <v>-1.3615259015762859</v>
      </c>
      <c r="AA5" s="290">
        <v>-14.768038579276649</v>
      </c>
      <c r="AB5" s="290">
        <v>12.153181578008201</v>
      </c>
      <c r="AC5" s="283">
        <v>0</v>
      </c>
      <c r="AD5" s="283">
        <v>0</v>
      </c>
      <c r="AE5" s="283">
        <v>0</v>
      </c>
      <c r="AF5" s="284">
        <v>-1.4285714285714306</v>
      </c>
      <c r="AG5" s="284">
        <v>-8.1269841269841265</v>
      </c>
      <c r="AH5" s="284">
        <v>7.4920634920634939</v>
      </c>
      <c r="AI5" s="285">
        <v>-0.7142857142857082</v>
      </c>
      <c r="AJ5" s="285">
        <v>-11.507936507936506</v>
      </c>
      <c r="AK5" s="285">
        <v>12.69841269841271</v>
      </c>
      <c r="AL5" s="61">
        <v>90.767279396865092</v>
      </c>
      <c r="AM5" s="61">
        <v>6.8662161083430817</v>
      </c>
      <c r="AN5" s="61">
        <v>2.3665044947918306</v>
      </c>
      <c r="AO5" s="581">
        <v>9.2327206031349114</v>
      </c>
      <c r="AP5" s="114">
        <v>-3.0289150912404779</v>
      </c>
      <c r="AQ5" s="114">
        <v>-4.9215681524921706</v>
      </c>
      <c r="AR5" s="114">
        <v>-0.96225351997343012</v>
      </c>
      <c r="AS5" s="30">
        <v>-3.1599735977891044</v>
      </c>
      <c r="AT5" s="30">
        <v>-11.980799107075853</v>
      </c>
      <c r="AU5" s="580">
        <v>6.6181749866508426</v>
      </c>
      <c r="AV5" s="585">
        <v>-1.2906670355057202</v>
      </c>
      <c r="AW5" s="585">
        <v>-14.317413241455384</v>
      </c>
      <c r="AX5" s="586">
        <v>12.193854302487082</v>
      </c>
      <c r="AY5" s="283">
        <v>0</v>
      </c>
      <c r="AZ5" s="283">
        <v>0</v>
      </c>
      <c r="BA5" s="283">
        <v>0</v>
      </c>
      <c r="BB5" s="284">
        <v>-1.4285714285714306</v>
      </c>
      <c r="BC5" s="284">
        <v>-8.1269841269841265</v>
      </c>
      <c r="BD5" s="284">
        <v>7.4920634920634939</v>
      </c>
      <c r="BE5" s="285">
        <v>-0.7142857142857082</v>
      </c>
      <c r="BF5" s="285">
        <v>-11.507936507936506</v>
      </c>
      <c r="BG5" s="285">
        <v>12.69841269841271</v>
      </c>
      <c r="BH5" s="25">
        <v>93.18738447769131</v>
      </c>
      <c r="BI5" s="25">
        <v>4.4461110275168627</v>
      </c>
      <c r="BJ5" s="25">
        <v>2.3665044947918306</v>
      </c>
      <c r="BK5" s="24">
        <v>6.8126155223086933</v>
      </c>
      <c r="BL5" s="216" t="s">
        <v>1097</v>
      </c>
      <c r="BN5" s="8">
        <v>4.3042504000000002E-2</v>
      </c>
      <c r="BO5" s="8">
        <v>2.4190634069999999</v>
      </c>
      <c r="BP5" s="8">
        <v>4.4441973099999998</v>
      </c>
      <c r="BQ5" s="8">
        <v>1.8856145449999999</v>
      </c>
      <c r="BR5" s="8">
        <v>0.479871347</v>
      </c>
      <c r="BS5" s="26">
        <v>0.172019335</v>
      </c>
      <c r="BT5" s="77">
        <v>1.3222204820000001</v>
      </c>
      <c r="BU5" s="77">
        <v>2.483525132</v>
      </c>
      <c r="BV5" s="77">
        <v>2.209317252</v>
      </c>
      <c r="BW5" s="68">
        <v>0.83628329300000004</v>
      </c>
      <c r="BX5" s="582">
        <v>4.9439983999999999E-2</v>
      </c>
      <c r="BY5" s="582">
        <v>2.2703193540000002</v>
      </c>
      <c r="BZ5" s="582">
        <v>3.7890194990000001</v>
      </c>
      <c r="CA5" s="582">
        <v>2.4259305530000002</v>
      </c>
      <c r="CB5" s="582">
        <v>0.67479701599999997</v>
      </c>
    </row>
    <row r="6" spans="1:80" ht="15" customHeight="1" x14ac:dyDescent="0.3">
      <c r="A6" s="207" t="s">
        <v>181</v>
      </c>
      <c r="B6" s="295" t="s">
        <v>182</v>
      </c>
      <c r="C6" s="146" t="s">
        <v>195</v>
      </c>
      <c r="D6" s="146" t="s">
        <v>196</v>
      </c>
      <c r="E6" s="291" t="s">
        <v>186</v>
      </c>
      <c r="F6" s="291" t="s">
        <v>976</v>
      </c>
      <c r="G6" s="128" t="s">
        <v>185</v>
      </c>
      <c r="H6" s="279" t="s">
        <v>189</v>
      </c>
      <c r="J6" s="129" t="s">
        <v>192</v>
      </c>
      <c r="K6" s="135"/>
      <c r="L6" s="135"/>
      <c r="M6" s="461"/>
      <c r="N6" s="135"/>
      <c r="O6" s="135"/>
      <c r="P6" s="135"/>
      <c r="Q6" s="135"/>
      <c r="R6" s="135"/>
      <c r="S6" s="126">
        <v>30</v>
      </c>
      <c r="T6" s="114">
        <v>-2.04817546744016</v>
      </c>
      <c r="U6" s="114">
        <v>-3.2382202298995395</v>
      </c>
      <c r="V6" s="114">
        <v>-0.73456904684607593</v>
      </c>
      <c r="W6" s="115">
        <v>-2.6542420674966536</v>
      </c>
      <c r="X6" s="115">
        <v>-10.712563734264506</v>
      </c>
      <c r="Y6" s="115">
        <v>6.8600861948763594</v>
      </c>
      <c r="Z6" s="290">
        <v>-1.1282935312507334</v>
      </c>
      <c r="AA6" s="290">
        <v>-13.417469296089294</v>
      </c>
      <c r="AB6" s="290">
        <v>12.313979392077783</v>
      </c>
      <c r="AC6" s="283">
        <v>0</v>
      </c>
      <c r="AD6" s="283">
        <v>0</v>
      </c>
      <c r="AE6" s="283">
        <v>0</v>
      </c>
      <c r="AF6" s="284">
        <v>-1.4285714285714306</v>
      </c>
      <c r="AG6" s="284">
        <v>-8.1269841269841265</v>
      </c>
      <c r="AH6" s="284">
        <v>7.4920634920634939</v>
      </c>
      <c r="AI6" s="285">
        <v>-0.7142857142857082</v>
      </c>
      <c r="AJ6" s="285">
        <v>-11.507936507936506</v>
      </c>
      <c r="AK6" s="285">
        <v>12.69841269841271</v>
      </c>
      <c r="AL6" s="61">
        <v>93.136847892384438</v>
      </c>
      <c r="AM6" s="61">
        <v>3.8123035131515048</v>
      </c>
      <c r="AN6" s="61">
        <v>3.0508485944640542</v>
      </c>
      <c r="AO6" s="581">
        <v>6.8631521076155586</v>
      </c>
      <c r="AP6" s="114">
        <v>-1.7832756922083774</v>
      </c>
      <c r="AQ6" s="114">
        <v>-2.7612804985298567</v>
      </c>
      <c r="AR6" s="114">
        <v>-0.69387299294142224</v>
      </c>
      <c r="AS6" s="30">
        <v>-2.5312528861390433</v>
      </c>
      <c r="AT6" s="30">
        <v>-10.364952122451243</v>
      </c>
      <c r="AU6" s="580">
        <v>6.9152480308245003</v>
      </c>
      <c r="AV6" s="585">
        <v>-1.0904507062176094</v>
      </c>
      <c r="AW6" s="585">
        <v>-13.176808715976748</v>
      </c>
      <c r="AX6" s="586">
        <v>12.335701032310396</v>
      </c>
      <c r="AY6" s="283">
        <v>0</v>
      </c>
      <c r="AZ6" s="283">
        <v>0</v>
      </c>
      <c r="BA6" s="283">
        <v>0</v>
      </c>
      <c r="BB6" s="284">
        <v>-1.4285714285714306</v>
      </c>
      <c r="BC6" s="284">
        <v>-8.1269841269841265</v>
      </c>
      <c r="BD6" s="284">
        <v>7.4920634920634939</v>
      </c>
      <c r="BE6" s="285">
        <v>-0.7142857142857082</v>
      </c>
      <c r="BF6" s="285">
        <v>-11.507936507936506</v>
      </c>
      <c r="BG6" s="285">
        <v>12.69841269841271</v>
      </c>
      <c r="BH6" s="25">
        <v>94.461346768543294</v>
      </c>
      <c r="BI6" s="25">
        <v>2.4878046369926539</v>
      </c>
      <c r="BJ6" s="25">
        <v>3.0508485944640542</v>
      </c>
      <c r="BK6" s="24">
        <v>5.5386532314567081</v>
      </c>
      <c r="BL6" s="216" t="s">
        <v>1097</v>
      </c>
      <c r="BN6" s="8">
        <v>0.172019335</v>
      </c>
      <c r="BO6" s="8">
        <v>1.3222204820000001</v>
      </c>
      <c r="BP6" s="8">
        <v>2.483525132</v>
      </c>
      <c r="BQ6" s="8">
        <v>2.209317252</v>
      </c>
      <c r="BR6" s="8">
        <v>0.83628329300000004</v>
      </c>
      <c r="BS6" s="26">
        <v>0.29067754099999998</v>
      </c>
      <c r="BT6" s="77">
        <v>3.567082026</v>
      </c>
      <c r="BU6" s="77">
        <v>7.8063326540000002</v>
      </c>
      <c r="BV6" s="77">
        <v>6.5425533199999997</v>
      </c>
      <c r="BW6" s="68">
        <v>3.6178166420000002</v>
      </c>
      <c r="BX6" s="582">
        <v>0.162919491</v>
      </c>
      <c r="BY6" s="582">
        <v>2.4465350360000002</v>
      </c>
      <c r="BZ6" s="582">
        <v>4.6145498280000004</v>
      </c>
      <c r="CA6" s="582">
        <v>2.6626658669999999</v>
      </c>
      <c r="CB6" s="582">
        <v>0.558718033</v>
      </c>
    </row>
    <row r="7" spans="1:80" ht="15" customHeight="1" x14ac:dyDescent="0.3">
      <c r="A7" s="207" t="s">
        <v>181</v>
      </c>
      <c r="B7" s="146" t="s">
        <v>197</v>
      </c>
      <c r="C7" s="146" t="s">
        <v>198</v>
      </c>
      <c r="D7" s="295" t="s">
        <v>199</v>
      </c>
      <c r="E7" s="291" t="s">
        <v>200</v>
      </c>
      <c r="F7" s="291" t="s">
        <v>874</v>
      </c>
      <c r="G7" s="281" t="s">
        <v>185</v>
      </c>
      <c r="H7" s="279" t="s">
        <v>202</v>
      </c>
      <c r="I7" s="151" t="s">
        <v>187</v>
      </c>
      <c r="J7" s="154" t="s">
        <v>187</v>
      </c>
      <c r="K7" s="199" t="s">
        <v>201</v>
      </c>
      <c r="L7" s="199" t="s">
        <v>201</v>
      </c>
      <c r="M7" s="462"/>
      <c r="N7" s="199"/>
      <c r="O7" s="199"/>
      <c r="P7" s="199">
        <v>106455</v>
      </c>
      <c r="Q7" s="199">
        <v>2260</v>
      </c>
      <c r="R7" s="199"/>
      <c r="S7" s="126">
        <v>1</v>
      </c>
      <c r="T7" s="114">
        <v>-10.432490233948513</v>
      </c>
      <c r="U7" s="114">
        <v>-24.484492895601591</v>
      </c>
      <c r="V7" s="114">
        <v>-1.4609671464911571</v>
      </c>
      <c r="W7" s="115">
        <v>-15.47723115908795</v>
      </c>
      <c r="X7" s="115">
        <v>-32.447262973263534</v>
      </c>
      <c r="Y7" s="115">
        <v>-2.2662131503210219</v>
      </c>
      <c r="Z7" s="290">
        <v>-23.898823606349865</v>
      </c>
      <c r="AA7" s="290">
        <v>-42.066020062383998</v>
      </c>
      <c r="AB7" s="290">
        <v>-4.7200266625033862</v>
      </c>
      <c r="AC7" s="283">
        <v>0</v>
      </c>
      <c r="AD7" s="283">
        <v>0</v>
      </c>
      <c r="AE7" s="283">
        <v>0</v>
      </c>
      <c r="AF7" s="284">
        <v>-3.375</v>
      </c>
      <c r="AG7" s="284">
        <v>-9.759502923976612</v>
      </c>
      <c r="AH7" s="284">
        <v>1.5997284878863809</v>
      </c>
      <c r="AI7" s="285">
        <v>-12.5</v>
      </c>
      <c r="AJ7" s="285">
        <v>-25.456932773109244</v>
      </c>
      <c r="AK7" s="285">
        <v>-0.79306722689075571</v>
      </c>
      <c r="AL7" s="61">
        <v>39.073354841482178</v>
      </c>
      <c r="AM7" s="61">
        <v>32.760049267180044</v>
      </c>
      <c r="AN7" s="61">
        <v>28.166595891337771</v>
      </c>
      <c r="AO7" s="581">
        <v>60.926645158517815</v>
      </c>
      <c r="AP7" s="114">
        <v>-9.1248747460453501</v>
      </c>
      <c r="AQ7" s="114">
        <v>-21.349604767871114</v>
      </c>
      <c r="AR7" s="114">
        <v>-1.4105729603356565</v>
      </c>
      <c r="AS7" s="30">
        <v>-13.89501641872512</v>
      </c>
      <c r="AT7" s="30">
        <v>-29.562285618438324</v>
      </c>
      <c r="AU7" s="580">
        <v>-1.9933167732080364</v>
      </c>
      <c r="AV7" s="585">
        <v>-22.395065795261218</v>
      </c>
      <c r="AW7" s="585">
        <v>-40.09763753241436</v>
      </c>
      <c r="AX7" s="586">
        <v>-4.376823381784817</v>
      </c>
      <c r="AY7" s="283">
        <v>0</v>
      </c>
      <c r="AZ7" s="283">
        <v>0</v>
      </c>
      <c r="BA7" s="283">
        <v>0</v>
      </c>
      <c r="BB7" s="284">
        <v>-3.375</v>
      </c>
      <c r="BC7" s="284">
        <v>-9.759502923976612</v>
      </c>
      <c r="BD7" s="284">
        <v>1.5997284878863809</v>
      </c>
      <c r="BE7" s="285">
        <v>-12.5</v>
      </c>
      <c r="BF7" s="285">
        <v>-25.456932773109244</v>
      </c>
      <c r="BG7" s="285">
        <v>-0.79306722689075571</v>
      </c>
      <c r="BH7" s="25">
        <v>63.315742186778721</v>
      </c>
      <c r="BI7" s="25">
        <v>19.540625169133172</v>
      </c>
      <c r="BJ7" s="25">
        <v>17.143632644088118</v>
      </c>
      <c r="BK7" s="24">
        <v>36.684257813221294</v>
      </c>
      <c r="BL7" s="216" t="s">
        <v>1097</v>
      </c>
      <c r="BN7" s="8">
        <v>0.38787370599999998</v>
      </c>
      <c r="BO7" s="8">
        <v>10.420348730000001</v>
      </c>
      <c r="BP7" s="8">
        <v>22.212632920000001</v>
      </c>
      <c r="BQ7" s="8">
        <v>18.995473950000001</v>
      </c>
      <c r="BR7" s="8">
        <v>9.0618711219999994</v>
      </c>
      <c r="BS7" s="26">
        <v>0.23476006699999999</v>
      </c>
      <c r="BT7" s="77">
        <v>10.69649317</v>
      </c>
      <c r="BU7" s="77">
        <v>21.539130520000001</v>
      </c>
      <c r="BV7" s="77">
        <v>18.11103889</v>
      </c>
      <c r="BW7" s="68">
        <v>5.6615542970000003</v>
      </c>
      <c r="BX7" s="582">
        <v>1.1487041410000001</v>
      </c>
      <c r="BY7" s="582">
        <v>7.0682844500000002</v>
      </c>
      <c r="BZ7" s="582">
        <v>14.525562539999999</v>
      </c>
      <c r="CA7" s="582">
        <v>12.42737077</v>
      </c>
      <c r="CB7" s="582">
        <v>6.4186300989999996</v>
      </c>
    </row>
    <row r="8" spans="1:80" ht="15" customHeight="1" x14ac:dyDescent="0.3">
      <c r="A8" s="207" t="s">
        <v>181</v>
      </c>
      <c r="B8" s="146" t="s">
        <v>197</v>
      </c>
      <c r="C8" s="146" t="s">
        <v>203</v>
      </c>
      <c r="D8" s="295" t="s">
        <v>204</v>
      </c>
      <c r="E8" s="291" t="s">
        <v>200</v>
      </c>
      <c r="F8" s="291" t="s">
        <v>874</v>
      </c>
      <c r="G8" s="281" t="s">
        <v>205</v>
      </c>
      <c r="H8" s="279" t="s">
        <v>202</v>
      </c>
      <c r="I8" s="151" t="s">
        <v>887</v>
      </c>
      <c r="J8" s="154" t="s">
        <v>192</v>
      </c>
      <c r="K8" s="199"/>
      <c r="L8" s="199"/>
      <c r="M8" s="462"/>
      <c r="N8" s="199"/>
      <c r="O8" s="199"/>
      <c r="P8" s="199"/>
      <c r="Q8" s="199"/>
      <c r="R8" s="199"/>
      <c r="S8" s="126">
        <v>2</v>
      </c>
      <c r="T8" s="114">
        <v>-9.4003547073341878</v>
      </c>
      <c r="U8" s="114">
        <v>-22.091122833439471</v>
      </c>
      <c r="V8" s="114">
        <v>-1.258102320765957</v>
      </c>
      <c r="W8" s="115">
        <v>-14.308601334131268</v>
      </c>
      <c r="X8" s="115">
        <v>-30.220794909552296</v>
      </c>
      <c r="Y8" s="115">
        <v>-1.7907238914148422</v>
      </c>
      <c r="Z8" s="290">
        <v>-22.80405158575644</v>
      </c>
      <c r="AA8" s="290">
        <v>-40.372966890140944</v>
      </c>
      <c r="AB8" s="290">
        <v>-4.2660354567707515</v>
      </c>
      <c r="AC8" s="283">
        <v>0</v>
      </c>
      <c r="AD8" s="283">
        <v>0</v>
      </c>
      <c r="AE8" s="283">
        <v>0</v>
      </c>
      <c r="AF8" s="284">
        <v>-3.375</v>
      </c>
      <c r="AG8" s="284">
        <v>-9.759502923976612</v>
      </c>
      <c r="AH8" s="284">
        <v>1.5997284878863809</v>
      </c>
      <c r="AI8" s="285">
        <v>-12.5</v>
      </c>
      <c r="AJ8" s="285">
        <v>-25.456932773109244</v>
      </c>
      <c r="AK8" s="285">
        <v>-0.79306722689075571</v>
      </c>
      <c r="AL8" s="61">
        <v>43.859988795081534</v>
      </c>
      <c r="AM8" s="61">
        <v>32.311478137724805</v>
      </c>
      <c r="AN8" s="61">
        <v>23.828533067193657</v>
      </c>
      <c r="AO8" s="581">
        <v>56.140011204918466</v>
      </c>
      <c r="AP8" s="114">
        <v>-8.060146788074988</v>
      </c>
      <c r="AQ8" s="114">
        <v>-18.878097342656105</v>
      </c>
      <c r="AR8" s="114">
        <v>-1.2064520550762126</v>
      </c>
      <c r="AS8" s="30">
        <v>-12.686949751827655</v>
      </c>
      <c r="AT8" s="30">
        <v>-27.263909239728747</v>
      </c>
      <c r="AU8" s="580">
        <v>-1.5110255480352919</v>
      </c>
      <c r="AV8" s="585">
        <v>-21.262812478608367</v>
      </c>
      <c r="AW8" s="585">
        <v>-38.355522252018005</v>
      </c>
      <c r="AX8" s="586">
        <v>-3.9142778040127979</v>
      </c>
      <c r="AY8" s="283">
        <v>0</v>
      </c>
      <c r="AZ8" s="283">
        <v>0</v>
      </c>
      <c r="BA8" s="283">
        <v>0</v>
      </c>
      <c r="BB8" s="284">
        <v>-3.375</v>
      </c>
      <c r="BC8" s="284">
        <v>-9.759502923976612</v>
      </c>
      <c r="BD8" s="284">
        <v>1.5997284878863809</v>
      </c>
      <c r="BE8" s="285">
        <v>-12.5</v>
      </c>
      <c r="BF8" s="285">
        <v>-25.456932773109244</v>
      </c>
      <c r="BG8" s="285">
        <v>-0.79306722689075571</v>
      </c>
      <c r="BH8" s="25">
        <v>61.459033428548864</v>
      </c>
      <c r="BI8" s="25">
        <v>20.510329447704613</v>
      </c>
      <c r="BJ8" s="25">
        <v>18.030637123746533</v>
      </c>
      <c r="BK8" s="24">
        <v>38.54096657145115</v>
      </c>
      <c r="BL8" s="216" t="s">
        <v>1097</v>
      </c>
      <c r="BN8" s="8">
        <v>0.23476006699999999</v>
      </c>
      <c r="BO8" s="8">
        <v>10.69649317</v>
      </c>
      <c r="BP8" s="8">
        <v>21.539130520000001</v>
      </c>
      <c r="BQ8" s="8">
        <v>18.11103889</v>
      </c>
      <c r="BR8" s="8">
        <v>5.6615542970000003</v>
      </c>
      <c r="BS8" s="26">
        <v>0.70632526399999995</v>
      </c>
      <c r="BT8" s="77">
        <v>9.8448219429999995</v>
      </c>
      <c r="BU8" s="77">
        <v>23.463331780000001</v>
      </c>
      <c r="BV8" s="77">
        <v>20.627706409999998</v>
      </c>
      <c r="BW8" s="68">
        <v>15.94448689</v>
      </c>
      <c r="BX8" s="582">
        <v>0.44573744700000001</v>
      </c>
      <c r="BY8" s="582">
        <v>8.6950907379999993</v>
      </c>
      <c r="BZ8" s="582">
        <v>17.469293390000001</v>
      </c>
      <c r="CA8" s="582">
        <v>14.528579540000001</v>
      </c>
      <c r="CB8" s="582">
        <v>4.2472278469999996</v>
      </c>
    </row>
    <row r="9" spans="1:80" ht="15" customHeight="1" x14ac:dyDescent="0.3">
      <c r="A9" s="207" t="s">
        <v>181</v>
      </c>
      <c r="B9" s="146" t="s">
        <v>197</v>
      </c>
      <c r="C9" s="146" t="s">
        <v>206</v>
      </c>
      <c r="D9" s="295" t="s">
        <v>207</v>
      </c>
      <c r="E9" s="291" t="s">
        <v>200</v>
      </c>
      <c r="F9" s="291" t="s">
        <v>874</v>
      </c>
      <c r="G9" s="281" t="s">
        <v>205</v>
      </c>
      <c r="H9" s="279" t="s">
        <v>202</v>
      </c>
      <c r="I9" s="151" t="s">
        <v>887</v>
      </c>
      <c r="J9" s="154" t="s">
        <v>192</v>
      </c>
      <c r="K9" s="199"/>
      <c r="L9" s="199"/>
      <c r="M9" s="462"/>
      <c r="N9" s="199"/>
      <c r="O9" s="199"/>
      <c r="P9" s="199"/>
      <c r="Q9" s="199"/>
      <c r="R9" s="199"/>
      <c r="S9" s="126">
        <v>3</v>
      </c>
      <c r="T9" s="114">
        <v>-12.480415032300186</v>
      </c>
      <c r="U9" s="114">
        <v>-29.232238231798419</v>
      </c>
      <c r="V9" s="114">
        <v>-1.8656768975484113</v>
      </c>
      <c r="W9" s="115">
        <v>-17.794903723522467</v>
      </c>
      <c r="X9" s="115">
        <v>-36.864255813031917</v>
      </c>
      <c r="Y9" s="115">
        <v>-3.2131583943720301</v>
      </c>
      <c r="Z9" s="290">
        <v>-26.069789860487589</v>
      </c>
      <c r="AA9" s="290">
        <v>-45.427186834052229</v>
      </c>
      <c r="AB9" s="290">
        <v>-5.6232809928953884</v>
      </c>
      <c r="AC9" s="283">
        <v>0</v>
      </c>
      <c r="AD9" s="283">
        <v>0</v>
      </c>
      <c r="AE9" s="283">
        <v>0</v>
      </c>
      <c r="AF9" s="284">
        <v>-3.375</v>
      </c>
      <c r="AG9" s="284">
        <v>-9.759502923976612</v>
      </c>
      <c r="AH9" s="284">
        <v>1.5997284878863809</v>
      </c>
      <c r="AI9" s="285">
        <v>-12.5</v>
      </c>
      <c r="AJ9" s="285">
        <v>-25.456932773109244</v>
      </c>
      <c r="AK9" s="285">
        <v>-0.79306722689075571</v>
      </c>
      <c r="AL9" s="61">
        <v>29.62255933341531</v>
      </c>
      <c r="AM9" s="61">
        <v>33.545091176813671</v>
      </c>
      <c r="AN9" s="61">
        <v>36.832349489771019</v>
      </c>
      <c r="AO9" s="581">
        <v>70.37744066658469</v>
      </c>
      <c r="AP9" s="114">
        <v>-11.241058400423185</v>
      </c>
      <c r="AQ9" s="114">
        <v>-26.260994447033013</v>
      </c>
      <c r="AR9" s="114">
        <v>-1.8179133390729589</v>
      </c>
      <c r="AS9" s="30">
        <v>-16.295282198951284</v>
      </c>
      <c r="AT9" s="30">
        <v>-34.129877205104023</v>
      </c>
      <c r="AU9" s="580">
        <v>-2.9545074852025834</v>
      </c>
      <c r="AV9" s="585">
        <v>-24.644529733829017</v>
      </c>
      <c r="AW9" s="585">
        <v>-43.561555870548851</v>
      </c>
      <c r="AX9" s="586">
        <v>-5.2979932718677247</v>
      </c>
      <c r="AY9" s="283">
        <v>0</v>
      </c>
      <c r="AZ9" s="283">
        <v>0</v>
      </c>
      <c r="BA9" s="283">
        <v>0</v>
      </c>
      <c r="BB9" s="284">
        <v>-3.375</v>
      </c>
      <c r="BC9" s="284">
        <v>-9.759502923976612</v>
      </c>
      <c r="BD9" s="284">
        <v>1.5997284878863809</v>
      </c>
      <c r="BE9" s="285">
        <v>-12.5</v>
      </c>
      <c r="BF9" s="285">
        <v>-25.456932773109244</v>
      </c>
      <c r="BG9" s="285">
        <v>-0.79306722689075571</v>
      </c>
      <c r="BH9" s="25">
        <v>63.568331460536889</v>
      </c>
      <c r="BI9" s="25">
        <v>21.42784132229967</v>
      </c>
      <c r="BJ9" s="25">
        <v>15.003827217163442</v>
      </c>
      <c r="BK9" s="24">
        <v>36.431668539463111</v>
      </c>
      <c r="BL9" s="216" t="s">
        <v>1097</v>
      </c>
      <c r="BN9" s="8">
        <v>0.70632526399999995</v>
      </c>
      <c r="BO9" s="8">
        <v>9.8448219429999995</v>
      </c>
      <c r="BP9" s="8">
        <v>23.463331780000001</v>
      </c>
      <c r="BQ9" s="8">
        <v>20.627706409999998</v>
      </c>
      <c r="BR9" s="8">
        <v>15.94448689</v>
      </c>
      <c r="BS9" s="26">
        <v>0.38869595499999998</v>
      </c>
      <c r="BT9" s="77">
        <v>12.273523559999999</v>
      </c>
      <c r="BU9" s="77">
        <v>20.83321935</v>
      </c>
      <c r="BV9" s="77">
        <v>12.434524079999999</v>
      </c>
      <c r="BW9" s="68">
        <v>1.708468162</v>
      </c>
      <c r="BX9" s="582">
        <v>1.633267279</v>
      </c>
      <c r="BY9" s="582">
        <v>5.940118998</v>
      </c>
      <c r="BZ9" s="582">
        <v>12.27808317</v>
      </c>
      <c r="CA9" s="582">
        <v>10.937494340000001</v>
      </c>
      <c r="CB9" s="582">
        <v>7.871929025</v>
      </c>
    </row>
    <row r="10" spans="1:80" ht="15" customHeight="1" x14ac:dyDescent="0.3">
      <c r="A10" s="207" t="s">
        <v>181</v>
      </c>
      <c r="B10" s="295" t="s">
        <v>208</v>
      </c>
      <c r="C10" s="146" t="s">
        <v>209</v>
      </c>
      <c r="D10" s="295" t="s">
        <v>210</v>
      </c>
      <c r="E10" s="291" t="s">
        <v>186</v>
      </c>
      <c r="F10" s="291" t="s">
        <v>977</v>
      </c>
      <c r="G10" s="281" t="s">
        <v>211</v>
      </c>
      <c r="H10" s="279" t="s">
        <v>212</v>
      </c>
      <c r="I10" s="151" t="s">
        <v>201</v>
      </c>
      <c r="J10" s="154" t="s">
        <v>227</v>
      </c>
      <c r="K10" s="199" t="s">
        <v>187</v>
      </c>
      <c r="L10" s="199" t="s">
        <v>187</v>
      </c>
      <c r="M10" s="463"/>
      <c r="N10" s="199"/>
      <c r="O10" s="199"/>
      <c r="P10" s="199">
        <v>203921</v>
      </c>
      <c r="Q10" s="199">
        <v>1576</v>
      </c>
      <c r="R10" s="199"/>
      <c r="S10" s="126">
        <v>24</v>
      </c>
      <c r="T10" s="114">
        <v>-3.1342029918649246</v>
      </c>
      <c r="U10" s="114">
        <v>-5.6531954930883046</v>
      </c>
      <c r="V10" s="114">
        <v>-1.0456400053488721</v>
      </c>
      <c r="W10" s="115">
        <v>-6.9891373372980894</v>
      </c>
      <c r="X10" s="115">
        <v>-26.985366352754625</v>
      </c>
      <c r="Y10" s="115">
        <v>-1.3633791887381932</v>
      </c>
      <c r="Z10" s="290">
        <v>-16.217809282838942</v>
      </c>
      <c r="AA10" s="290">
        <v>-44.013990686502183</v>
      </c>
      <c r="AB10" s="290">
        <v>-4.1074034405101543</v>
      </c>
      <c r="AC10" s="283">
        <v>0</v>
      </c>
      <c r="AD10" s="283">
        <v>0</v>
      </c>
      <c r="AE10" s="283">
        <v>0</v>
      </c>
      <c r="AF10" s="284">
        <v>-4.1666666666666714</v>
      </c>
      <c r="AG10" s="284">
        <v>-23.740740740740748</v>
      </c>
      <c r="AH10" s="284">
        <v>-0.42592592592592382</v>
      </c>
      <c r="AI10" s="285">
        <v>-15</v>
      </c>
      <c r="AJ10" s="285">
        <v>-43.981481481481481</v>
      </c>
      <c r="AK10" s="285">
        <v>-3.7962962962962905</v>
      </c>
      <c r="AL10" s="61">
        <v>86.140843339792568</v>
      </c>
      <c r="AM10" s="61">
        <v>9.0143740464051945</v>
      </c>
      <c r="AN10" s="61">
        <v>4.8447826138022414</v>
      </c>
      <c r="AO10" s="581">
        <v>13.859156660207436</v>
      </c>
      <c r="AP10" s="114">
        <v>-2.6201070012944001</v>
      </c>
      <c r="AQ10" s="114">
        <v>-4.6250035119472557</v>
      </c>
      <c r="AR10" s="114">
        <v>-0.95491718348348797</v>
      </c>
      <c r="AS10" s="30">
        <v>-6.5355232279711828</v>
      </c>
      <c r="AT10" s="30">
        <v>-26.428933045313585</v>
      </c>
      <c r="AU10" s="580">
        <v>-1.2477915934726695</v>
      </c>
      <c r="AV10" s="585">
        <v>-16.036363639108174</v>
      </c>
      <c r="AW10" s="585">
        <v>-44.188716121205893</v>
      </c>
      <c r="AX10" s="586">
        <v>-4.0435614547530463</v>
      </c>
      <c r="AY10" s="283">
        <v>0</v>
      </c>
      <c r="AZ10" s="283">
        <v>0</v>
      </c>
      <c r="BA10" s="283">
        <v>0</v>
      </c>
      <c r="BB10" s="284">
        <v>-4.1666666666666714</v>
      </c>
      <c r="BC10" s="284">
        <v>-23.740740740740748</v>
      </c>
      <c r="BD10" s="284">
        <v>-0.42592592592592382</v>
      </c>
      <c r="BE10" s="285">
        <v>-15</v>
      </c>
      <c r="BF10" s="285">
        <v>-43.981481481481481</v>
      </c>
      <c r="BG10" s="285">
        <v>-3.7962962962962905</v>
      </c>
      <c r="BH10" s="25">
        <v>89.769756214408034</v>
      </c>
      <c r="BI10" s="25">
        <v>5.3854611717897249</v>
      </c>
      <c r="BJ10" s="25">
        <v>4.8447826138022414</v>
      </c>
      <c r="BK10" s="24">
        <v>10.230243785591966</v>
      </c>
      <c r="BL10" s="216" t="s">
        <v>1097</v>
      </c>
      <c r="BN10" s="8">
        <v>3.1254986420000002</v>
      </c>
      <c r="BO10" s="8">
        <v>3.5154912519999999</v>
      </c>
      <c r="BP10" s="8">
        <v>5.2171386560000004</v>
      </c>
      <c r="BQ10" s="8">
        <v>3.40593528</v>
      </c>
      <c r="BR10" s="8">
        <v>1.287423719</v>
      </c>
      <c r="BS10" s="26">
        <v>2.3239226000000002E-2</v>
      </c>
      <c r="BT10" s="77">
        <v>1.9485596919999999</v>
      </c>
      <c r="BU10" s="77">
        <v>4.793452147</v>
      </c>
      <c r="BV10" s="77">
        <v>1.2002092099999999</v>
      </c>
      <c r="BW10" s="68">
        <v>0.22561415600000001</v>
      </c>
      <c r="BX10" s="582">
        <v>1.303533292</v>
      </c>
      <c r="BY10" s="582">
        <v>5.3997821239999997</v>
      </c>
      <c r="BZ10" s="582">
        <v>9.1364415529999992</v>
      </c>
      <c r="CA10" s="582">
        <v>6.8936373260000003</v>
      </c>
      <c r="CB10" s="582">
        <v>2.2660655780000001</v>
      </c>
    </row>
    <row r="11" spans="1:80" ht="15" customHeight="1" x14ac:dyDescent="0.3">
      <c r="A11" s="207" t="s">
        <v>181</v>
      </c>
      <c r="B11" s="295" t="s">
        <v>208</v>
      </c>
      <c r="C11" s="146" t="s">
        <v>213</v>
      </c>
      <c r="D11" s="295" t="s">
        <v>214</v>
      </c>
      <c r="E11" s="291" t="s">
        <v>186</v>
      </c>
      <c r="F11" s="291" t="s">
        <v>977</v>
      </c>
      <c r="G11" s="281" t="s">
        <v>215</v>
      </c>
      <c r="H11" s="279" t="s">
        <v>212</v>
      </c>
      <c r="I11" s="151" t="s">
        <v>886</v>
      </c>
      <c r="J11" s="154"/>
      <c r="K11" s="199"/>
      <c r="L11" s="199"/>
      <c r="M11" s="462"/>
      <c r="N11" s="199"/>
      <c r="O11" s="199"/>
      <c r="P11" s="199"/>
      <c r="Q11" s="199"/>
      <c r="R11" s="199"/>
      <c r="S11" s="126">
        <v>25</v>
      </c>
      <c r="T11" s="114">
        <v>-1.5020330283417138</v>
      </c>
      <c r="U11" s="114">
        <v>-2.8229670353074852</v>
      </c>
      <c r="V11" s="114">
        <v>-0.41005483669866294</v>
      </c>
      <c r="W11" s="115">
        <v>-5.5087682186544811</v>
      </c>
      <c r="X11" s="115">
        <v>-25.322995744826628</v>
      </c>
      <c r="Y11" s="115">
        <v>-0.83215816219149019</v>
      </c>
      <c r="Z11" s="290">
        <v>-15.562986792006271</v>
      </c>
      <c r="AA11" s="290">
        <v>-43.794124065545944</v>
      </c>
      <c r="AB11" s="290">
        <v>-3.9598307998797253</v>
      </c>
      <c r="AC11" s="283">
        <v>0</v>
      </c>
      <c r="AD11" s="283">
        <v>0</v>
      </c>
      <c r="AE11" s="283">
        <v>0</v>
      </c>
      <c r="AF11" s="284">
        <v>-4.1666666666666714</v>
      </c>
      <c r="AG11" s="284">
        <v>-23.740740740740748</v>
      </c>
      <c r="AH11" s="284">
        <v>-0.42592592592592382</v>
      </c>
      <c r="AI11" s="285">
        <v>-15</v>
      </c>
      <c r="AJ11" s="285">
        <v>-43.981481481481481</v>
      </c>
      <c r="AK11" s="285">
        <v>-3.7962962962962905</v>
      </c>
      <c r="AL11" s="61">
        <v>91.830266212101435</v>
      </c>
      <c r="AM11" s="61">
        <v>6.7435789945630349</v>
      </c>
      <c r="AN11" s="61">
        <v>1.426154793335533</v>
      </c>
      <c r="AO11" s="581">
        <v>8.1697337878985685</v>
      </c>
      <c r="AP11" s="114">
        <v>-1.2259229061197345</v>
      </c>
      <c r="AQ11" s="114">
        <v>-2.2707467908635266</v>
      </c>
      <c r="AR11" s="114">
        <v>-0.36132952101243632</v>
      </c>
      <c r="AS11" s="30">
        <v>-5.2651416402233195</v>
      </c>
      <c r="AT11" s="30">
        <v>-25.024147141951062</v>
      </c>
      <c r="AU11" s="580">
        <v>-0.77007850072459405</v>
      </c>
      <c r="AV11" s="585">
        <v>-15.465536160633818</v>
      </c>
      <c r="AW11" s="585">
        <v>-43.887965414274987</v>
      </c>
      <c r="AX11" s="586">
        <v>-3.9255426147671812</v>
      </c>
      <c r="AY11" s="283">
        <v>0</v>
      </c>
      <c r="AZ11" s="283">
        <v>0</v>
      </c>
      <c r="BA11" s="283">
        <v>0</v>
      </c>
      <c r="BB11" s="284">
        <v>-4.1666666666666714</v>
      </c>
      <c r="BC11" s="284">
        <v>-23.740740740740748</v>
      </c>
      <c r="BD11" s="284">
        <v>-0.42592592592592382</v>
      </c>
      <c r="BE11" s="285">
        <v>-15</v>
      </c>
      <c r="BF11" s="285">
        <v>-43.981481481481481</v>
      </c>
      <c r="BG11" s="285">
        <v>-3.7962962962962905</v>
      </c>
      <c r="BH11" s="25">
        <v>93.779278839550699</v>
      </c>
      <c r="BI11" s="25">
        <v>4.7945663671137737</v>
      </c>
      <c r="BJ11" s="25">
        <v>1.426154793335533</v>
      </c>
      <c r="BK11" s="24">
        <v>6.2207211604493065</v>
      </c>
      <c r="BL11" s="216" t="s">
        <v>1097</v>
      </c>
      <c r="BN11" s="8">
        <v>2.3239226000000002E-2</v>
      </c>
      <c r="BO11" s="8">
        <v>1.9485596919999999</v>
      </c>
      <c r="BP11" s="8">
        <v>4.793452147</v>
      </c>
      <c r="BQ11" s="8">
        <v>1.2002092099999999</v>
      </c>
      <c r="BR11" s="8">
        <v>0.22561415600000001</v>
      </c>
      <c r="BS11" s="26">
        <v>5.1343751869999998</v>
      </c>
      <c r="BT11" s="77">
        <v>4.5282809789999998</v>
      </c>
      <c r="BU11" s="77">
        <v>5.4889899059999996</v>
      </c>
      <c r="BV11" s="77">
        <v>4.8317511089999998</v>
      </c>
      <c r="BW11" s="68">
        <v>1.975001397</v>
      </c>
      <c r="BX11" s="582">
        <v>0.34742408800000002</v>
      </c>
      <c r="BY11" s="582">
        <v>5.8084001799999996</v>
      </c>
      <c r="BZ11" s="582">
        <v>11.35079107</v>
      </c>
      <c r="CA11" s="582">
        <v>6.7530834049999999</v>
      </c>
      <c r="CB11" s="582">
        <v>0.83930150800000003</v>
      </c>
    </row>
    <row r="12" spans="1:80" ht="15" customHeight="1" x14ac:dyDescent="0.3">
      <c r="A12" s="207" t="s">
        <v>181</v>
      </c>
      <c r="B12" s="295" t="s">
        <v>208</v>
      </c>
      <c r="C12" s="146" t="s">
        <v>216</v>
      </c>
      <c r="D12" s="295" t="s">
        <v>217</v>
      </c>
      <c r="E12" s="291" t="s">
        <v>186</v>
      </c>
      <c r="F12" s="291" t="s">
        <v>977</v>
      </c>
      <c r="G12" s="281" t="s">
        <v>215</v>
      </c>
      <c r="H12" s="279" t="s">
        <v>212</v>
      </c>
      <c r="I12" s="151" t="s">
        <v>886</v>
      </c>
      <c r="J12" s="154"/>
      <c r="K12" s="199"/>
      <c r="L12" s="199"/>
      <c r="M12" s="462"/>
      <c r="N12" s="199"/>
      <c r="O12" s="199"/>
      <c r="P12" s="199"/>
      <c r="Q12" s="199"/>
      <c r="R12" s="199"/>
      <c r="S12" s="126">
        <v>26</v>
      </c>
      <c r="T12" s="114">
        <v>-4.2463943189282247</v>
      </c>
      <c r="U12" s="114">
        <v>-7.5816582613104231</v>
      </c>
      <c r="V12" s="114">
        <v>-1.478826295248993</v>
      </c>
      <c r="W12" s="115">
        <v>-7.997898732959797</v>
      </c>
      <c r="X12" s="115">
        <v>-28.118111001789529</v>
      </c>
      <c r="Y12" s="115">
        <v>-1.7254041164906795</v>
      </c>
      <c r="Z12" s="290">
        <v>-16.664037274631085</v>
      </c>
      <c r="AA12" s="290">
        <v>-44.164004933852702</v>
      </c>
      <c r="AB12" s="290">
        <v>-4.2079484825396207</v>
      </c>
      <c r="AC12" s="283">
        <v>0</v>
      </c>
      <c r="AD12" s="283">
        <v>0</v>
      </c>
      <c r="AE12" s="283">
        <v>0</v>
      </c>
      <c r="AF12" s="284">
        <v>-4.1666666666666714</v>
      </c>
      <c r="AG12" s="284">
        <v>-23.740740740740748</v>
      </c>
      <c r="AH12" s="284">
        <v>-0.42592592592592382</v>
      </c>
      <c r="AI12" s="285">
        <v>-15</v>
      </c>
      <c r="AJ12" s="285">
        <v>-43.981481481481481</v>
      </c>
      <c r="AK12" s="285">
        <v>-3.7962962962962905</v>
      </c>
      <c r="AL12" s="61">
        <v>82.265416557194811</v>
      </c>
      <c r="AM12" s="61">
        <v>10.559431727505233</v>
      </c>
      <c r="AN12" s="61">
        <v>7.1751517152999655</v>
      </c>
      <c r="AO12" s="581">
        <v>17.734583442805199</v>
      </c>
      <c r="AP12" s="114">
        <v>-3.5701678424889991</v>
      </c>
      <c r="AQ12" s="114">
        <v>-6.2292053084319861</v>
      </c>
      <c r="AR12" s="114">
        <v>-1.3594922111714851</v>
      </c>
      <c r="AS12" s="30">
        <v>-7.4012283125722433</v>
      </c>
      <c r="AT12" s="30">
        <v>-27.38619528611413</v>
      </c>
      <c r="AU12" s="580">
        <v>-1.5733636538141553</v>
      </c>
      <c r="AV12" s="585">
        <v>-16.425369106476069</v>
      </c>
      <c r="AW12" s="585">
        <v>-44.3938335402242</v>
      </c>
      <c r="AX12" s="586">
        <v>-4.1239726455961829</v>
      </c>
      <c r="AY12" s="283">
        <v>0</v>
      </c>
      <c r="AZ12" s="283">
        <v>0</v>
      </c>
      <c r="BA12" s="283">
        <v>0</v>
      </c>
      <c r="BB12" s="284">
        <v>-4.1666666666666714</v>
      </c>
      <c r="BC12" s="284">
        <v>-23.740740740740748</v>
      </c>
      <c r="BD12" s="284">
        <v>-0.42592592592592382</v>
      </c>
      <c r="BE12" s="285">
        <v>-15</v>
      </c>
      <c r="BF12" s="285">
        <v>-43.981481481481481</v>
      </c>
      <c r="BG12" s="285">
        <v>-3.7962962962962905</v>
      </c>
      <c r="BH12" s="25">
        <v>87.038779920295184</v>
      </c>
      <c r="BI12" s="25">
        <v>5.7860683644048594</v>
      </c>
      <c r="BJ12" s="25">
        <v>7.1751517152999655</v>
      </c>
      <c r="BK12" s="24">
        <v>12.961220079704825</v>
      </c>
      <c r="BL12" s="216" t="s">
        <v>1097</v>
      </c>
      <c r="BN12" s="8">
        <v>5.1343751869999998</v>
      </c>
      <c r="BO12" s="8">
        <v>4.5282809789999998</v>
      </c>
      <c r="BP12" s="8">
        <v>5.4889899059999996</v>
      </c>
      <c r="BQ12" s="8">
        <v>4.8317511089999998</v>
      </c>
      <c r="BR12" s="8">
        <v>1.975001397</v>
      </c>
      <c r="BS12" s="26">
        <v>0.114131936</v>
      </c>
      <c r="BT12" s="77">
        <v>4.5165664870000004</v>
      </c>
      <c r="BU12" s="77">
        <v>8.4296587079999998</v>
      </c>
      <c r="BV12" s="77">
        <v>5.6446221320000003</v>
      </c>
      <c r="BW12" s="68">
        <v>1.0191524700000001</v>
      </c>
      <c r="BX12" s="582">
        <v>2.050742176</v>
      </c>
      <c r="BY12" s="582">
        <v>5.0725222670000001</v>
      </c>
      <c r="BZ12" s="582">
        <v>7.3683154760000003</v>
      </c>
      <c r="CA12" s="582">
        <v>6.991092171</v>
      </c>
      <c r="CB12" s="582">
        <v>3.3814473949999999</v>
      </c>
    </row>
    <row r="13" spans="1:80" ht="15" customHeight="1" x14ac:dyDescent="0.3">
      <c r="A13" s="207" t="s">
        <v>181</v>
      </c>
      <c r="B13" s="295" t="s">
        <v>208</v>
      </c>
      <c r="C13" s="146" t="s">
        <v>218</v>
      </c>
      <c r="D13" s="296" t="s">
        <v>219</v>
      </c>
      <c r="E13" s="291" t="s">
        <v>200</v>
      </c>
      <c r="F13" s="291" t="s">
        <v>978</v>
      </c>
      <c r="G13" s="128" t="s">
        <v>185</v>
      </c>
      <c r="H13" s="279"/>
      <c r="J13" s="129" t="s">
        <v>187</v>
      </c>
      <c r="K13" s="135" t="s">
        <v>187</v>
      </c>
      <c r="L13" s="135" t="s">
        <v>187</v>
      </c>
      <c r="M13" s="460" t="s">
        <v>971</v>
      </c>
      <c r="N13" s="135"/>
      <c r="O13" s="135"/>
      <c r="P13" s="135">
        <v>8873</v>
      </c>
      <c r="Q13" s="135">
        <v>420</v>
      </c>
      <c r="R13" s="135"/>
      <c r="S13" s="126">
        <v>4</v>
      </c>
      <c r="T13" s="114">
        <v>-11.223107649839363</v>
      </c>
      <c r="U13" s="114">
        <v>-21.105659727654995</v>
      </c>
      <c r="V13" s="114">
        <v>-5.870435948987847</v>
      </c>
      <c r="W13" s="115">
        <v>-14.218805187532809</v>
      </c>
      <c r="X13" s="115">
        <v>-33.350524060340462</v>
      </c>
      <c r="Y13" s="115">
        <v>0.34974813734118015</v>
      </c>
      <c r="Z13" s="290">
        <v>-17.669683091499252</v>
      </c>
      <c r="AA13" s="290">
        <v>-45.113382478537837</v>
      </c>
      <c r="AB13" s="290">
        <v>7.3243676150142534</v>
      </c>
      <c r="AC13" s="283">
        <v>0</v>
      </c>
      <c r="AD13" s="283">
        <v>0</v>
      </c>
      <c r="AE13" s="283">
        <v>0</v>
      </c>
      <c r="AF13" s="284">
        <v>-2.7142857142857082</v>
      </c>
      <c r="AG13" s="284">
        <v>-14.35374149659863</v>
      </c>
      <c r="AH13" s="284">
        <v>7.2607709750567011</v>
      </c>
      <c r="AI13" s="285">
        <v>-11</v>
      </c>
      <c r="AJ13" s="285">
        <v>-34.841269841269849</v>
      </c>
      <c r="AK13" s="285">
        <v>16.746031746031747</v>
      </c>
      <c r="AL13" s="61">
        <v>57.248789248792676</v>
      </c>
      <c r="AM13" s="61">
        <v>33.642042688611646</v>
      </c>
      <c r="AN13" s="61">
        <v>9.109168062595689</v>
      </c>
      <c r="AO13" s="581">
        <v>42.751210751207338</v>
      </c>
      <c r="AP13" s="114">
        <v>-7.3964563787745732</v>
      </c>
      <c r="AQ13" s="114">
        <v>-13.452357185525415</v>
      </c>
      <c r="AR13" s="114">
        <v>-4.0188304952468314</v>
      </c>
      <c r="AS13" s="30">
        <v>-10.120585116586</v>
      </c>
      <c r="AT13" s="30">
        <v>-26.553466579887939</v>
      </c>
      <c r="AU13" s="580">
        <v>2.6704269726966032</v>
      </c>
      <c r="AV13" s="585">
        <v>-15.620573056025847</v>
      </c>
      <c r="AW13" s="585">
        <v>-42.104180726309828</v>
      </c>
      <c r="AX13" s="586">
        <v>10.590638822830414</v>
      </c>
      <c r="AY13" s="283">
        <v>0</v>
      </c>
      <c r="AZ13" s="283">
        <v>0</v>
      </c>
      <c r="BA13" s="283">
        <v>0</v>
      </c>
      <c r="BB13" s="284">
        <v>-2.7142857142857082</v>
      </c>
      <c r="BC13" s="284">
        <v>-14.35374149659863</v>
      </c>
      <c r="BD13" s="284">
        <v>7.2607709750567011</v>
      </c>
      <c r="BE13" s="285">
        <v>-11</v>
      </c>
      <c r="BF13" s="285">
        <v>-34.841269841269849</v>
      </c>
      <c r="BG13" s="285">
        <v>16.746031746031747</v>
      </c>
      <c r="BH13" s="25">
        <v>74.530440150375611</v>
      </c>
      <c r="BI13" s="25">
        <v>16.3603917870287</v>
      </c>
      <c r="BJ13" s="25">
        <v>9.1091680625956872</v>
      </c>
      <c r="BK13" s="24">
        <v>25.469559849624389</v>
      </c>
      <c r="BL13" s="216" t="s">
        <v>92</v>
      </c>
      <c r="BN13" s="582">
        <v>1.2752085019999999</v>
      </c>
      <c r="BO13" s="582">
        <v>17.06127382</v>
      </c>
      <c r="BP13" s="582">
        <v>16.151762680000001</v>
      </c>
      <c r="BQ13" s="582">
        <v>8.1905737869999999</v>
      </c>
      <c r="BR13" s="582">
        <v>0.80243339000000002</v>
      </c>
      <c r="BS13" s="26">
        <v>0.53082888100000003</v>
      </c>
      <c r="BT13" s="77">
        <v>6.3400753810000001</v>
      </c>
      <c r="BU13" s="77">
        <v>12.694246959999999</v>
      </c>
      <c r="BV13" s="77">
        <v>9.2557292929999999</v>
      </c>
      <c r="BW13" s="68">
        <v>2.7618489500000001</v>
      </c>
      <c r="BX13" s="582">
        <v>1.2752085019999999</v>
      </c>
      <c r="BY13" s="582">
        <v>17.06127382</v>
      </c>
      <c r="BZ13" s="582">
        <v>16.151762680000001</v>
      </c>
      <c r="CA13" s="582">
        <v>8.1905737869999999</v>
      </c>
      <c r="CB13" s="582">
        <v>0.80243339000000002</v>
      </c>
    </row>
    <row r="14" spans="1:80" ht="15" customHeight="1" x14ac:dyDescent="0.3">
      <c r="A14" s="207" t="s">
        <v>181</v>
      </c>
      <c r="B14" s="295" t="s">
        <v>208</v>
      </c>
      <c r="C14" s="146" t="s">
        <v>221</v>
      </c>
      <c r="D14" s="295" t="s">
        <v>979</v>
      </c>
      <c r="E14" s="291" t="s">
        <v>200</v>
      </c>
      <c r="F14" s="291" t="s">
        <v>980</v>
      </c>
      <c r="G14" s="281" t="s">
        <v>223</v>
      </c>
      <c r="H14" s="279" t="s">
        <v>224</v>
      </c>
      <c r="I14" s="151" t="s">
        <v>888</v>
      </c>
      <c r="J14" s="154" t="s">
        <v>188</v>
      </c>
      <c r="K14" s="154" t="s">
        <v>970</v>
      </c>
      <c r="L14" s="154" t="s">
        <v>970</v>
      </c>
      <c r="M14" s="462"/>
      <c r="N14" s="199"/>
      <c r="O14" s="199"/>
      <c r="P14" s="199">
        <v>16317</v>
      </c>
      <c r="Q14" s="199">
        <v>390</v>
      </c>
      <c r="R14" s="199"/>
      <c r="S14" s="126">
        <v>5</v>
      </c>
      <c r="T14" s="114">
        <v>-8.8015655632675873</v>
      </c>
      <c r="U14" s="114">
        <v>-12.867598374464478</v>
      </c>
      <c r="V14" s="114">
        <v>-4.5087178173991731</v>
      </c>
      <c r="W14" s="115">
        <v>-11.430183921046435</v>
      </c>
      <c r="X14" s="115">
        <v>-26.210521577739712</v>
      </c>
      <c r="Y14" s="115">
        <v>-3.3306827204300617</v>
      </c>
      <c r="Z14" s="290">
        <v>-20.018543370415713</v>
      </c>
      <c r="AA14" s="290">
        <v>-41.398009506522449</v>
      </c>
      <c r="AB14" s="290">
        <v>-5.9756216357830567</v>
      </c>
      <c r="AC14" s="283">
        <v>0</v>
      </c>
      <c r="AD14" s="283">
        <v>0</v>
      </c>
      <c r="AE14" s="283">
        <v>0</v>
      </c>
      <c r="AF14" s="284">
        <v>-2.7142857142857082</v>
      </c>
      <c r="AG14" s="284">
        <v>-15.011337868480723</v>
      </c>
      <c r="AH14" s="284">
        <v>0.12471655328798192</v>
      </c>
      <c r="AI14" s="285">
        <v>-14.285714285714292</v>
      </c>
      <c r="AJ14" s="285">
        <v>-34.421768707482997</v>
      </c>
      <c r="AK14" s="285">
        <v>-4.3764172335600904</v>
      </c>
      <c r="AL14" s="61">
        <v>78.892364461986176</v>
      </c>
      <c r="AM14" s="61">
        <v>11.623785063487151</v>
      </c>
      <c r="AN14" s="61">
        <v>9.4838504745266761</v>
      </c>
      <c r="AO14" s="581">
        <v>21.107635538013827</v>
      </c>
      <c r="AP14" s="114">
        <v>-7.792475821715712</v>
      </c>
      <c r="AQ14" s="114">
        <v>-11.293170837591518</v>
      </c>
      <c r="AR14" s="114">
        <v>-4.1010047905095206</v>
      </c>
      <c r="AS14" s="30">
        <v>-10.407333864837042</v>
      </c>
      <c r="AT14" s="30">
        <v>-24.868781689784498</v>
      </c>
      <c r="AU14" s="580">
        <v>-3.0329794049029601</v>
      </c>
      <c r="AV14" s="585">
        <v>-19.385568896169545</v>
      </c>
      <c r="AW14" s="585">
        <v>-40.767656044591995</v>
      </c>
      <c r="AX14" s="586">
        <v>-5.8884001703877402</v>
      </c>
      <c r="AY14" s="283">
        <v>0</v>
      </c>
      <c r="AZ14" s="283">
        <v>0</v>
      </c>
      <c r="BA14" s="283">
        <v>0</v>
      </c>
      <c r="BB14" s="284">
        <v>-2.7142857142857082</v>
      </c>
      <c r="BC14" s="284">
        <v>-15.011337868480723</v>
      </c>
      <c r="BD14" s="284">
        <v>0.12471655328798192</v>
      </c>
      <c r="BE14" s="285">
        <v>-14.285714285714292</v>
      </c>
      <c r="BF14" s="285">
        <v>-34.421768707482997</v>
      </c>
      <c r="BG14" s="285">
        <v>-4.3764172335600904</v>
      </c>
      <c r="BH14" s="25">
        <v>82.103104548742138</v>
      </c>
      <c r="BI14" s="25">
        <v>8.4130449767311841</v>
      </c>
      <c r="BJ14" s="25">
        <v>9.4838504745266761</v>
      </c>
      <c r="BK14" s="24">
        <v>17.896895451257862</v>
      </c>
      <c r="BL14" s="216" t="s">
        <v>1097</v>
      </c>
      <c r="BN14" s="8">
        <v>0.20440330200000001</v>
      </c>
      <c r="BO14" s="8">
        <v>3.2041772279999998</v>
      </c>
      <c r="BP14" s="8">
        <v>8.3958484349999996</v>
      </c>
      <c r="BQ14" s="8">
        <v>7.2475833449999998</v>
      </c>
      <c r="BR14" s="8">
        <v>2.2168818259999998</v>
      </c>
      <c r="BS14" s="26" t="s">
        <v>220</v>
      </c>
      <c r="BT14" s="77" t="s">
        <v>220</v>
      </c>
      <c r="BU14" s="77" t="s">
        <v>220</v>
      </c>
      <c r="BV14" s="77" t="s">
        <v>220</v>
      </c>
      <c r="BW14" s="68" t="s">
        <v>220</v>
      </c>
      <c r="BX14" s="582">
        <v>0.42812881899999999</v>
      </c>
      <c r="BY14" s="582">
        <v>8.1350221699999992</v>
      </c>
      <c r="BZ14" s="582">
        <v>17.549673380000002</v>
      </c>
      <c r="CA14" s="582">
        <v>12.99172907</v>
      </c>
      <c r="CB14" s="582">
        <v>2.2145144480000001</v>
      </c>
    </row>
    <row r="15" spans="1:80" ht="15" customHeight="1" x14ac:dyDescent="0.3">
      <c r="A15" s="207" t="s">
        <v>181</v>
      </c>
      <c r="B15" s="295" t="s">
        <v>208</v>
      </c>
      <c r="C15" s="146" t="s">
        <v>225</v>
      </c>
      <c r="D15" s="295" t="s">
        <v>226</v>
      </c>
      <c r="E15" s="291" t="s">
        <v>200</v>
      </c>
      <c r="F15" s="291" t="s">
        <v>876</v>
      </c>
      <c r="G15" s="281" t="s">
        <v>185</v>
      </c>
      <c r="H15" s="279"/>
      <c r="I15" s="151" t="s">
        <v>201</v>
      </c>
      <c r="J15" s="154" t="s">
        <v>227</v>
      </c>
      <c r="K15" s="199" t="s">
        <v>227</v>
      </c>
      <c r="L15" s="199"/>
      <c r="M15" s="462" t="s">
        <v>227</v>
      </c>
      <c r="N15" s="199"/>
      <c r="O15" s="199"/>
      <c r="P15" s="199">
        <v>21487</v>
      </c>
      <c r="Q15" s="199">
        <v>72</v>
      </c>
      <c r="R15" s="199"/>
      <c r="S15" s="126">
        <v>6</v>
      </c>
      <c r="T15" s="114">
        <v>-7.4023914476256181</v>
      </c>
      <c r="U15" s="114">
        <v>-14.689311031899109</v>
      </c>
      <c r="V15" s="114">
        <v>-3.2011493439726024</v>
      </c>
      <c r="W15" s="115">
        <v>-13.307446543778411</v>
      </c>
      <c r="X15" s="115">
        <v>-38.388333153122566</v>
      </c>
      <c r="Y15" s="115">
        <v>-2.534964285226522</v>
      </c>
      <c r="Z15" s="290">
        <v>-33.562670957397984</v>
      </c>
      <c r="AA15" s="290">
        <v>-61.879684021395491</v>
      </c>
      <c r="AB15" s="290">
        <v>-14.136638928614374</v>
      </c>
      <c r="AC15" s="283">
        <v>0</v>
      </c>
      <c r="AD15" s="283">
        <v>0</v>
      </c>
      <c r="AE15" s="283">
        <v>0</v>
      </c>
      <c r="AF15" s="284">
        <v>-5.875</v>
      </c>
      <c r="AG15" s="284">
        <v>-26.888888888888886</v>
      </c>
      <c r="AH15" s="284">
        <v>0.88888888888888573</v>
      </c>
      <c r="AI15" s="285">
        <v>-28.125</v>
      </c>
      <c r="AJ15" s="285">
        <v>-54.722222222222214</v>
      </c>
      <c r="AK15" s="285">
        <v>-12.5</v>
      </c>
      <c r="AL15" s="61">
        <v>74.054794283716561</v>
      </c>
      <c r="AM15" s="61">
        <v>16.292533863849798</v>
      </c>
      <c r="AN15" s="61">
        <v>9.6526718524336363</v>
      </c>
      <c r="AO15" s="581">
        <v>25.945205716283432</v>
      </c>
      <c r="AP15" s="114">
        <v>-5.348028497008201</v>
      </c>
      <c r="AQ15" s="114">
        <v>-10.24441664783599</v>
      </c>
      <c r="AR15" s="114">
        <v>-2.6048998950055164</v>
      </c>
      <c r="AS15" s="30">
        <v>-11.551900022341727</v>
      </c>
      <c r="AT15" s="30">
        <v>-34.913208754502406</v>
      </c>
      <c r="AU15" s="580">
        <v>-1.9373314268651001</v>
      </c>
      <c r="AV15" s="585">
        <v>-32.193095656986387</v>
      </c>
      <c r="AW15" s="585">
        <v>-59.721565366201446</v>
      </c>
      <c r="AX15" s="586">
        <v>-13.728533157279614</v>
      </c>
      <c r="AY15" s="283">
        <v>0</v>
      </c>
      <c r="AZ15" s="283">
        <v>0</v>
      </c>
      <c r="BA15" s="283">
        <v>0</v>
      </c>
      <c r="BB15" s="284">
        <v>-5.875</v>
      </c>
      <c r="BC15" s="284">
        <v>-26.888888888888886</v>
      </c>
      <c r="BD15" s="284">
        <v>0.88888888888888573</v>
      </c>
      <c r="BE15" s="285">
        <v>-28.125</v>
      </c>
      <c r="BF15" s="285">
        <v>-54.722222222222214</v>
      </c>
      <c r="BG15" s="285">
        <v>-12.5</v>
      </c>
      <c r="BH15" s="25">
        <v>84.015341923073692</v>
      </c>
      <c r="BI15" s="25">
        <v>6.3319862244926668</v>
      </c>
      <c r="BJ15" s="25">
        <v>9.6526718524336363</v>
      </c>
      <c r="BK15" s="24">
        <v>15.984658076926303</v>
      </c>
      <c r="BL15" s="216" t="s">
        <v>1097</v>
      </c>
      <c r="BN15" s="8">
        <v>2.0769715000000001E-2</v>
      </c>
      <c r="BO15" s="8">
        <v>9.9584788619999998</v>
      </c>
      <c r="BP15" s="8">
        <v>6.330671089</v>
      </c>
      <c r="BQ15" s="8">
        <v>7.7604929030000003</v>
      </c>
      <c r="BR15" s="8">
        <v>1.8901741169999999</v>
      </c>
      <c r="BS15" s="26">
        <v>0.59219557599999995</v>
      </c>
      <c r="BT15" s="77">
        <v>20.168927320000002</v>
      </c>
      <c r="BU15" s="77">
        <v>25.188041890000001</v>
      </c>
      <c r="BV15" s="77">
        <v>19.53961069</v>
      </c>
      <c r="BW15" s="68">
        <v>1.6827735669999999</v>
      </c>
      <c r="BX15" s="582">
        <v>0.27420059200000002</v>
      </c>
      <c r="BY15" s="582">
        <v>7.1812536720000004</v>
      </c>
      <c r="BZ15" s="582">
        <v>5.371182943</v>
      </c>
      <c r="CA15" s="582">
        <v>5.8313763109999996</v>
      </c>
      <c r="CB15" s="582">
        <v>2.0557350310000002</v>
      </c>
    </row>
    <row r="16" spans="1:80" ht="15" customHeight="1" x14ac:dyDescent="0.3">
      <c r="A16" s="207" t="s">
        <v>181</v>
      </c>
      <c r="B16" s="295" t="s">
        <v>208</v>
      </c>
      <c r="C16" s="146" t="s">
        <v>228</v>
      </c>
      <c r="D16" s="146" t="s">
        <v>229</v>
      </c>
      <c r="E16" s="291" t="s">
        <v>200</v>
      </c>
      <c r="F16" s="291" t="s">
        <v>875</v>
      </c>
      <c r="G16" s="128" t="s">
        <v>185</v>
      </c>
      <c r="H16" s="279"/>
      <c r="J16" s="129" t="s">
        <v>187</v>
      </c>
      <c r="K16" s="135" t="s">
        <v>188</v>
      </c>
      <c r="L16" s="135"/>
      <c r="M16" s="460" t="s">
        <v>971</v>
      </c>
      <c r="N16" s="135"/>
      <c r="O16" s="135"/>
      <c r="P16" s="135">
        <v>25586</v>
      </c>
      <c r="Q16" s="135">
        <v>428</v>
      </c>
      <c r="R16" s="135"/>
      <c r="S16" s="126">
        <v>7</v>
      </c>
      <c r="T16" s="114">
        <v>-23.185258226048845</v>
      </c>
      <c r="U16" s="114">
        <v>-40.823183639196245</v>
      </c>
      <c r="V16" s="114">
        <v>-10.758372240091148</v>
      </c>
      <c r="W16" s="115">
        <v>-20.871790148146829</v>
      </c>
      <c r="X16" s="115">
        <v>-55.241333658389884</v>
      </c>
      <c r="Y16" s="115">
        <v>3.1361025183217919</v>
      </c>
      <c r="Z16" s="290">
        <v>-13.69373619751579</v>
      </c>
      <c r="AA16" s="290">
        <v>-53.150051479633468</v>
      </c>
      <c r="AB16" s="290">
        <v>19.747773382279888</v>
      </c>
      <c r="AC16" s="283">
        <v>0</v>
      </c>
      <c r="AD16" s="283">
        <v>0</v>
      </c>
      <c r="AE16" s="283">
        <v>0</v>
      </c>
      <c r="AF16" s="284">
        <v>-0.375</v>
      </c>
      <c r="AG16" s="284">
        <v>-31.908730158730151</v>
      </c>
      <c r="AH16" s="284">
        <v>18.547619047619051</v>
      </c>
      <c r="AI16" s="285">
        <v>-0.625</v>
      </c>
      <c r="AJ16" s="285">
        <v>-38.402777777777771</v>
      </c>
      <c r="AK16" s="285">
        <v>34.722222222222229</v>
      </c>
      <c r="AL16" s="61">
        <v>33.024017729008648</v>
      </c>
      <c r="AM16" s="61">
        <v>45.627171299891899</v>
      </c>
      <c r="AN16" s="61">
        <v>21.348810971099457</v>
      </c>
      <c r="AO16" s="581">
        <v>66.975982270991352</v>
      </c>
      <c r="AP16" s="114">
        <v>-17.859375160652618</v>
      </c>
      <c r="AQ16" s="114">
        <v>-30.247904113273464</v>
      </c>
      <c r="AR16" s="114">
        <v>-8.181981339219206</v>
      </c>
      <c r="AS16" s="30">
        <v>-16.053134041359783</v>
      </c>
      <c r="AT16" s="30">
        <v>-49.516915125515041</v>
      </c>
      <c r="AU16" s="580">
        <v>7.1355468308471899</v>
      </c>
      <c r="AV16" s="585">
        <v>-11.157601404469986</v>
      </c>
      <c r="AW16" s="585">
        <v>-50.406597731283114</v>
      </c>
      <c r="AX16" s="586">
        <v>23.254885496091816</v>
      </c>
      <c r="AY16" s="283">
        <v>0</v>
      </c>
      <c r="AZ16" s="283">
        <v>0</v>
      </c>
      <c r="BA16" s="283">
        <v>0</v>
      </c>
      <c r="BB16" s="284">
        <v>-0.375</v>
      </c>
      <c r="BC16" s="284">
        <v>-31.908730158730151</v>
      </c>
      <c r="BD16" s="284">
        <v>18.547619047619051</v>
      </c>
      <c r="BE16" s="285">
        <v>-0.625</v>
      </c>
      <c r="BF16" s="285">
        <v>-38.402777777777771</v>
      </c>
      <c r="BG16" s="285">
        <v>34.722222222222229</v>
      </c>
      <c r="BH16" s="25">
        <v>54.581652149155062</v>
      </c>
      <c r="BI16" s="25">
        <v>21.589814783651278</v>
      </c>
      <c r="BJ16" s="25">
        <v>23.828533067193657</v>
      </c>
      <c r="BK16" s="24">
        <v>45.418347850844938</v>
      </c>
      <c r="BL16" s="216" t="s">
        <v>1097</v>
      </c>
      <c r="BN16" s="8">
        <v>0.59219557599999995</v>
      </c>
      <c r="BO16" s="8">
        <v>20.168927320000002</v>
      </c>
      <c r="BP16" s="8">
        <v>25.188041890000001</v>
      </c>
      <c r="BQ16" s="8">
        <v>19.53961069</v>
      </c>
      <c r="BR16" s="8">
        <v>1.6827735669999999</v>
      </c>
      <c r="BS16" s="26" t="s">
        <v>220</v>
      </c>
      <c r="BT16" s="77" t="s">
        <v>220</v>
      </c>
      <c r="BU16" s="77" t="s">
        <v>220</v>
      </c>
      <c r="BV16" s="77" t="s">
        <v>220</v>
      </c>
      <c r="BW16" s="68" t="s">
        <v>220</v>
      </c>
      <c r="BX16" s="582">
        <v>0.84818818600000001</v>
      </c>
      <c r="BY16" s="582">
        <v>13.55522991</v>
      </c>
      <c r="BZ16" s="582">
        <v>24.860881689999999</v>
      </c>
      <c r="CA16" s="582">
        <v>15.801967400000001</v>
      </c>
      <c r="CB16" s="582">
        <v>1.8979228880000001</v>
      </c>
    </row>
    <row r="17" spans="1:96" ht="15" customHeight="1" x14ac:dyDescent="0.3">
      <c r="A17" s="207" t="s">
        <v>181</v>
      </c>
      <c r="B17" s="295" t="s">
        <v>208</v>
      </c>
      <c r="C17" s="146" t="s">
        <v>230</v>
      </c>
      <c r="D17" s="295" t="s">
        <v>231</v>
      </c>
      <c r="E17" s="291" t="s">
        <v>200</v>
      </c>
      <c r="F17" s="291" t="s">
        <v>981</v>
      </c>
      <c r="G17" s="281" t="s">
        <v>223</v>
      </c>
      <c r="H17" s="279" t="s">
        <v>224</v>
      </c>
      <c r="I17" s="151" t="s">
        <v>888</v>
      </c>
      <c r="J17" s="154" t="s">
        <v>192</v>
      </c>
      <c r="K17" s="199"/>
      <c r="L17" s="154" t="s">
        <v>970</v>
      </c>
      <c r="M17" s="462"/>
      <c r="N17" s="199"/>
      <c r="O17" s="199"/>
      <c r="P17" s="199">
        <v>35950</v>
      </c>
      <c r="Q17" s="199">
        <v>308</v>
      </c>
      <c r="R17" s="199"/>
      <c r="S17" s="126">
        <v>8</v>
      </c>
      <c r="T17" s="114">
        <v>-36.432385238205669</v>
      </c>
      <c r="U17" s="114">
        <v>-52.608883948708488</v>
      </c>
      <c r="V17" s="114">
        <v>-18.115388116873447</v>
      </c>
      <c r="W17" s="115">
        <v>-40.580381241791329</v>
      </c>
      <c r="X17" s="115">
        <v>-61.659092844092498</v>
      </c>
      <c r="Y17" s="115">
        <v>-14.196192606127596</v>
      </c>
      <c r="Z17" s="290">
        <v>-43.036228130770574</v>
      </c>
      <c r="AA17" s="290">
        <v>-67.012408308587894</v>
      </c>
      <c r="AB17" s="290">
        <v>-13.42555681547077</v>
      </c>
      <c r="AC17" s="283">
        <v>0</v>
      </c>
      <c r="AD17" s="283">
        <v>0</v>
      </c>
      <c r="AE17" s="283">
        <v>0</v>
      </c>
      <c r="AF17" s="284">
        <v>-3</v>
      </c>
      <c r="AG17" s="284">
        <v>-17.460317460317455</v>
      </c>
      <c r="AH17" s="284">
        <v>-0.6916099773242621</v>
      </c>
      <c r="AI17" s="285">
        <v>-17.142857142857139</v>
      </c>
      <c r="AJ17" s="285">
        <v>-38.17460317460317</v>
      </c>
      <c r="AK17" s="285">
        <v>-4.7165532879818528</v>
      </c>
      <c r="AL17" s="61">
        <v>14.999370969765906</v>
      </c>
      <c r="AM17" s="61">
        <v>41.197390089363573</v>
      </c>
      <c r="AN17" s="61">
        <v>43.803238940870521</v>
      </c>
      <c r="AO17" s="581">
        <v>85.000629030234094</v>
      </c>
      <c r="AP17" s="114">
        <v>-33.223500777164205</v>
      </c>
      <c r="AQ17" s="114">
        <v>-47.592410824858135</v>
      </c>
      <c r="AR17" s="114">
        <v>-16.71409231864088</v>
      </c>
      <c r="AS17" s="30">
        <v>-37.207321296696591</v>
      </c>
      <c r="AT17" s="30">
        <v>-57.657759618031932</v>
      </c>
      <c r="AU17" s="580">
        <v>-13.427908198068707</v>
      </c>
      <c r="AV17" s="585">
        <v>-40.9765720581021</v>
      </c>
      <c r="AW17" s="585">
        <v>-65.109583650700472</v>
      </c>
      <c r="AX17" s="586">
        <v>-13.218501443086112</v>
      </c>
      <c r="AY17" s="283">
        <v>0</v>
      </c>
      <c r="AZ17" s="283">
        <v>0</v>
      </c>
      <c r="BA17" s="283">
        <v>0</v>
      </c>
      <c r="BB17" s="284">
        <v>-3</v>
      </c>
      <c r="BC17" s="284">
        <v>-17.460317460317455</v>
      </c>
      <c r="BD17" s="284">
        <v>-0.6916099773242621</v>
      </c>
      <c r="BE17" s="285">
        <v>-17.142857142857139</v>
      </c>
      <c r="BF17" s="285">
        <v>-38.17460317460317</v>
      </c>
      <c r="BG17" s="285">
        <v>-4.7165532879818528</v>
      </c>
      <c r="BH17" s="25">
        <v>25.446901773156718</v>
      </c>
      <c r="BI17" s="25">
        <v>30.749859285972757</v>
      </c>
      <c r="BJ17" s="25">
        <v>43.803238940870521</v>
      </c>
      <c r="BK17" s="24">
        <v>74.553098226843275</v>
      </c>
      <c r="BL17" s="216" t="s">
        <v>1097</v>
      </c>
      <c r="BN17" s="8">
        <v>0.19555245900000001</v>
      </c>
      <c r="BO17" s="8">
        <v>10.4271004</v>
      </c>
      <c r="BP17" s="8">
        <v>30.689727179999998</v>
      </c>
      <c r="BQ17" s="8">
        <v>26.81483502</v>
      </c>
      <c r="BR17" s="8">
        <v>16.90274561</v>
      </c>
      <c r="BS17" s="26">
        <v>0.30143220700000001</v>
      </c>
      <c r="BT17" s="77">
        <v>14.06654238</v>
      </c>
      <c r="BU17" s="77">
        <v>23.02624797</v>
      </c>
      <c r="BV17" s="77">
        <v>15.372482979999999</v>
      </c>
      <c r="BW17" s="68">
        <v>3.4986809679999999</v>
      </c>
      <c r="BX17" s="582">
        <v>2.7448069510000002</v>
      </c>
      <c r="BY17" s="582">
        <v>8.6867058850000003</v>
      </c>
      <c r="BZ17" s="582">
        <v>21.113653719999999</v>
      </c>
      <c r="CA17" s="582">
        <v>19.252196919999999</v>
      </c>
      <c r="CB17" s="582">
        <v>14.05324444</v>
      </c>
    </row>
    <row r="18" spans="1:96" ht="15" customHeight="1" x14ac:dyDescent="0.3">
      <c r="A18" s="207" t="s">
        <v>181</v>
      </c>
      <c r="B18" s="295" t="s">
        <v>182</v>
      </c>
      <c r="C18" s="146" t="s">
        <v>232</v>
      </c>
      <c r="D18" s="295" t="s">
        <v>233</v>
      </c>
      <c r="E18" s="291" t="s">
        <v>200</v>
      </c>
      <c r="F18" s="291" t="s">
        <v>878</v>
      </c>
      <c r="G18" s="281" t="s">
        <v>185</v>
      </c>
      <c r="H18" s="279" t="s">
        <v>234</v>
      </c>
      <c r="I18" s="151" t="s">
        <v>187</v>
      </c>
      <c r="J18" s="154" t="s">
        <v>187</v>
      </c>
      <c r="K18" s="199" t="s">
        <v>187</v>
      </c>
      <c r="L18" s="199" t="s">
        <v>187</v>
      </c>
      <c r="M18" s="462"/>
      <c r="N18" s="199"/>
      <c r="O18" s="199"/>
      <c r="P18" s="199">
        <v>114779</v>
      </c>
      <c r="Q18" s="199">
        <v>732</v>
      </c>
      <c r="R18" s="199"/>
      <c r="S18" s="126">
        <v>9</v>
      </c>
      <c r="T18" s="114">
        <v>-15.224403577388415</v>
      </c>
      <c r="U18" s="114">
        <v>-25.249516475323688</v>
      </c>
      <c r="V18" s="114">
        <v>-4.3449213143569381</v>
      </c>
      <c r="W18" s="115">
        <v>-16.231196522412517</v>
      </c>
      <c r="X18" s="115">
        <v>-42.658607515849148</v>
      </c>
      <c r="Y18" s="115">
        <v>4.6959807868771293</v>
      </c>
      <c r="Z18" s="290">
        <v>-14.476627195523378</v>
      </c>
      <c r="AA18" s="290">
        <v>-41.303371471470506</v>
      </c>
      <c r="AB18" s="290">
        <v>8.8179355660685417</v>
      </c>
      <c r="AC18" s="283">
        <v>0</v>
      </c>
      <c r="AD18" s="283">
        <v>0</v>
      </c>
      <c r="AE18" s="283">
        <v>0</v>
      </c>
      <c r="AF18" s="284">
        <v>-3</v>
      </c>
      <c r="AG18" s="284">
        <v>-31.611111111111114</v>
      </c>
      <c r="AH18" s="284">
        <v>10.414682539682545</v>
      </c>
      <c r="AI18" s="285">
        <v>-8.125</v>
      </c>
      <c r="AJ18" s="285">
        <v>-37.519841269841265</v>
      </c>
      <c r="AK18" s="285">
        <v>13.055555555555557</v>
      </c>
      <c r="AL18" s="61">
        <v>43.866842285843418</v>
      </c>
      <c r="AM18" s="61">
        <v>37.204938015773934</v>
      </c>
      <c r="AN18" s="61">
        <v>18.928219698382645</v>
      </c>
      <c r="AO18" s="581">
        <v>56.133157714156582</v>
      </c>
      <c r="AP18" s="114">
        <v>-12.384952904583699</v>
      </c>
      <c r="AQ18" s="114">
        <v>-20.033359087334915</v>
      </c>
      <c r="AR18" s="114">
        <v>-3.6876177375310135</v>
      </c>
      <c r="AS18" s="30">
        <v>-13.779745320425846</v>
      </c>
      <c r="AT18" s="30">
        <v>-40.743557925034132</v>
      </c>
      <c r="AU18" s="580">
        <v>5.5215953131653777</v>
      </c>
      <c r="AV18" s="585">
        <v>-13.682991914304679</v>
      </c>
      <c r="AW18" s="585">
        <v>-40.896385353090579</v>
      </c>
      <c r="AX18" s="586">
        <v>9.5097213978767741</v>
      </c>
      <c r="AY18" s="283">
        <v>0</v>
      </c>
      <c r="AZ18" s="283">
        <v>0</v>
      </c>
      <c r="BA18" s="283">
        <v>0</v>
      </c>
      <c r="BB18" s="284">
        <v>-3</v>
      </c>
      <c r="BC18" s="284">
        <v>-31.611111111111114</v>
      </c>
      <c r="BD18" s="284">
        <v>10.414682539682545</v>
      </c>
      <c r="BE18" s="285">
        <v>-8.125</v>
      </c>
      <c r="BF18" s="285">
        <v>-37.519841269841265</v>
      </c>
      <c r="BG18" s="285">
        <v>13.055555555555557</v>
      </c>
      <c r="BH18" s="25">
        <v>57.975913951953785</v>
      </c>
      <c r="BI18" s="25">
        <v>23.095866349663563</v>
      </c>
      <c r="BJ18" s="25">
        <v>18.928219698382645</v>
      </c>
      <c r="BK18" s="24">
        <v>42.024086048046208</v>
      </c>
      <c r="BL18" s="216" t="s">
        <v>1097</v>
      </c>
      <c r="BN18" s="8">
        <v>0.30143220700000001</v>
      </c>
      <c r="BO18" s="8">
        <v>14.06654238</v>
      </c>
      <c r="BP18" s="8">
        <v>23.02624797</v>
      </c>
      <c r="BQ18" s="8">
        <v>15.372482979999999</v>
      </c>
      <c r="BR18" s="8">
        <v>3.4986809679999999</v>
      </c>
      <c r="BS18" s="26">
        <v>0.31913250100000001</v>
      </c>
      <c r="BT18" s="77">
        <v>19.424143140000002</v>
      </c>
      <c r="BU18" s="77">
        <v>29.334992159999999</v>
      </c>
      <c r="BV18" s="77">
        <v>19.128626570000002</v>
      </c>
      <c r="BW18" s="68">
        <v>2.8652266420000001</v>
      </c>
      <c r="BX18" s="582">
        <v>1.129822951</v>
      </c>
      <c r="BY18" s="582">
        <v>10.668373170000001</v>
      </c>
      <c r="BZ18" s="582">
        <v>21.424199120000001</v>
      </c>
      <c r="CA18" s="582">
        <v>15.93520893</v>
      </c>
      <c r="CB18" s="582">
        <v>5.4674914589999997</v>
      </c>
    </row>
    <row r="19" spans="1:96" ht="15" customHeight="1" x14ac:dyDescent="0.3">
      <c r="A19" s="207" t="s">
        <v>181</v>
      </c>
      <c r="B19" s="295" t="s">
        <v>182</v>
      </c>
      <c r="C19" s="146" t="s">
        <v>235</v>
      </c>
      <c r="D19" s="295" t="s">
        <v>236</v>
      </c>
      <c r="E19" s="291" t="s">
        <v>200</v>
      </c>
      <c r="F19" s="291" t="s">
        <v>982</v>
      </c>
      <c r="G19" s="281" t="s">
        <v>215</v>
      </c>
      <c r="H19" s="279" t="s">
        <v>234</v>
      </c>
      <c r="I19" s="151" t="s">
        <v>887</v>
      </c>
      <c r="J19" s="154" t="s">
        <v>192</v>
      </c>
      <c r="K19" s="199"/>
      <c r="L19" s="199"/>
      <c r="M19" s="462"/>
      <c r="N19" s="199"/>
      <c r="O19" s="199"/>
      <c r="P19" s="199"/>
      <c r="Q19" s="199"/>
      <c r="R19" s="199"/>
      <c r="S19" s="126">
        <v>10</v>
      </c>
      <c r="T19" s="114">
        <v>-18.862961319752401</v>
      </c>
      <c r="U19" s="114">
        <v>-31.483307460635217</v>
      </c>
      <c r="V19" s="114">
        <v>-5.3231725952772848</v>
      </c>
      <c r="W19" s="115">
        <v>-19.386998519880336</v>
      </c>
      <c r="X19" s="115">
        <v>-45.241757142809533</v>
      </c>
      <c r="Y19" s="115">
        <v>3.42395858584797</v>
      </c>
      <c r="Z19" s="290">
        <v>-15.84094241332437</v>
      </c>
      <c r="AA19" s="290">
        <v>-42.090213355830926</v>
      </c>
      <c r="AB19" s="290">
        <v>7.8439074233192088</v>
      </c>
      <c r="AC19" s="283">
        <v>0</v>
      </c>
      <c r="AD19" s="283">
        <v>0</v>
      </c>
      <c r="AE19" s="283">
        <v>0</v>
      </c>
      <c r="AF19" s="284">
        <v>-3</v>
      </c>
      <c r="AG19" s="284">
        <v>-31.611111111111114</v>
      </c>
      <c r="AH19" s="284">
        <v>10.414682539682545</v>
      </c>
      <c r="AI19" s="285">
        <v>-8.125</v>
      </c>
      <c r="AJ19" s="285">
        <v>-37.519841269841265</v>
      </c>
      <c r="AK19" s="285">
        <v>13.055555555555557</v>
      </c>
      <c r="AL19" s="61">
        <v>29.020492811511907</v>
      </c>
      <c r="AM19" s="61">
        <v>48.915239727913836</v>
      </c>
      <c r="AN19" s="61">
        <v>22.064267460574257</v>
      </c>
      <c r="AO19" s="581">
        <v>70.9795071884881</v>
      </c>
      <c r="AP19" s="114">
        <v>-14.941337336128626</v>
      </c>
      <c r="AQ19" s="114">
        <v>-24.279164732954897</v>
      </c>
      <c r="AR19" s="114">
        <v>-4.4153570462731864</v>
      </c>
      <c r="AS19" s="30">
        <v>-16.001248620975332</v>
      </c>
      <c r="AT19" s="30">
        <v>-42.596842590463808</v>
      </c>
      <c r="AU19" s="580">
        <v>4.5642318642430695</v>
      </c>
      <c r="AV19" s="585">
        <v>-14.744836330945049</v>
      </c>
      <c r="AW19" s="585">
        <v>-41.528116419924615</v>
      </c>
      <c r="AX19" s="586">
        <v>8.7993471270385868</v>
      </c>
      <c r="AY19" s="283">
        <v>0</v>
      </c>
      <c r="AZ19" s="283">
        <v>0</v>
      </c>
      <c r="BA19" s="283">
        <v>0</v>
      </c>
      <c r="BB19" s="284">
        <v>-3</v>
      </c>
      <c r="BC19" s="284">
        <v>-31.611111111111114</v>
      </c>
      <c r="BD19" s="284">
        <v>10.414682539682545</v>
      </c>
      <c r="BE19" s="285">
        <v>-8.125</v>
      </c>
      <c r="BF19" s="285">
        <v>-37.519841269841265</v>
      </c>
      <c r="BG19" s="285">
        <v>13.055555555555557</v>
      </c>
      <c r="BH19" s="25">
        <v>48.506823164921869</v>
      </c>
      <c r="BI19" s="25">
        <v>29.428909374503874</v>
      </c>
      <c r="BJ19" s="25">
        <v>22.064267460574261</v>
      </c>
      <c r="BK19" s="24">
        <v>51.493176835078131</v>
      </c>
      <c r="BL19" s="216" t="s">
        <v>1097</v>
      </c>
      <c r="BN19" s="8">
        <v>0.31913250100000001</v>
      </c>
      <c r="BO19" s="8">
        <v>19.424143140000002</v>
      </c>
      <c r="BP19" s="8">
        <v>29.334992159999999</v>
      </c>
      <c r="BQ19" s="8">
        <v>19.128626570000002</v>
      </c>
      <c r="BR19" s="8">
        <v>2.8652266420000001</v>
      </c>
      <c r="BS19" s="26">
        <v>0.292714223</v>
      </c>
      <c r="BT19" s="77">
        <v>11.08037013</v>
      </c>
      <c r="BU19" s="77">
        <v>19.483426980000001</v>
      </c>
      <c r="BV19" s="77">
        <v>13.23998199</v>
      </c>
      <c r="BW19" s="68">
        <v>3.8534688030000002</v>
      </c>
      <c r="BX19" s="582">
        <v>0.68260955099999998</v>
      </c>
      <c r="BY19" s="582">
        <v>14.881930970000001</v>
      </c>
      <c r="BZ19" s="582">
        <v>29.53500622</v>
      </c>
      <c r="CA19" s="582">
        <v>20.834000549999999</v>
      </c>
      <c r="CB19" s="582">
        <v>2.7822665670000002</v>
      </c>
    </row>
    <row r="20" spans="1:96" s="49" customFormat="1" ht="15" customHeight="1" x14ac:dyDescent="0.3">
      <c r="A20" s="207" t="s">
        <v>181</v>
      </c>
      <c r="B20" s="295" t="s">
        <v>182</v>
      </c>
      <c r="C20" s="146" t="s">
        <v>237</v>
      </c>
      <c r="D20" s="295" t="s">
        <v>238</v>
      </c>
      <c r="E20" s="291" t="s">
        <v>200</v>
      </c>
      <c r="F20" s="291" t="s">
        <v>982</v>
      </c>
      <c r="G20" s="281" t="s">
        <v>215</v>
      </c>
      <c r="H20" s="279" t="s">
        <v>234</v>
      </c>
      <c r="I20" s="151" t="s">
        <v>887</v>
      </c>
      <c r="J20" s="154" t="s">
        <v>192</v>
      </c>
      <c r="K20" s="199"/>
      <c r="L20" s="199"/>
      <c r="M20" s="462"/>
      <c r="N20" s="199"/>
      <c r="O20" s="199"/>
      <c r="P20" s="199"/>
      <c r="Q20" s="199"/>
      <c r="R20" s="199"/>
      <c r="S20" s="126">
        <v>11</v>
      </c>
      <c r="T20" s="114">
        <v>-13.176481615806694</v>
      </c>
      <c r="U20" s="114">
        <v>-21.743696096874714</v>
      </c>
      <c r="V20" s="114">
        <v>-3.7934781060899496</v>
      </c>
      <c r="W20" s="115">
        <v>-14.454898523568701</v>
      </c>
      <c r="X20" s="115">
        <v>-41.203907405017851</v>
      </c>
      <c r="Y20" s="115">
        <v>5.4132552174548181</v>
      </c>
      <c r="Z20" s="290">
        <v>-13.706578088796249</v>
      </c>
      <c r="AA20" s="290">
        <v>-40.858856705058166</v>
      </c>
      <c r="AB20" s="290">
        <v>9.3667008572115265</v>
      </c>
      <c r="AC20" s="283">
        <v>0</v>
      </c>
      <c r="AD20" s="283">
        <v>0</v>
      </c>
      <c r="AE20" s="283">
        <v>0</v>
      </c>
      <c r="AF20" s="284">
        <v>-3</v>
      </c>
      <c r="AG20" s="284">
        <v>-31.611111111111114</v>
      </c>
      <c r="AH20" s="284">
        <v>10.414682539682545</v>
      </c>
      <c r="AI20" s="285">
        <v>-8.125</v>
      </c>
      <c r="AJ20" s="285">
        <v>-37.519841269841265</v>
      </c>
      <c r="AK20" s="285">
        <v>13.055555555555557</v>
      </c>
      <c r="AL20" s="61">
        <v>52.202843020330874</v>
      </c>
      <c r="AM20" s="61">
        <v>30.653524335581018</v>
      </c>
      <c r="AN20" s="61">
        <v>17.143632644088118</v>
      </c>
      <c r="AO20" s="581">
        <v>47.79715697966914</v>
      </c>
      <c r="AP20" s="114">
        <v>-10.940010658559061</v>
      </c>
      <c r="AQ20" s="114">
        <v>-17.635230815755222</v>
      </c>
      <c r="AR20" s="114">
        <v>-3.2757581211133555</v>
      </c>
      <c r="AS20" s="30">
        <v>-12.524032293398378</v>
      </c>
      <c r="AT20" s="30">
        <v>-39.695533678871662</v>
      </c>
      <c r="AU20" s="580">
        <v>6.0635439960591668</v>
      </c>
      <c r="AV20" s="585">
        <v>-13.081477510683555</v>
      </c>
      <c r="AW20" s="585">
        <v>-40.538297294578747</v>
      </c>
      <c r="AX20" s="586">
        <v>9.91158051872236</v>
      </c>
      <c r="AY20" s="283">
        <v>0</v>
      </c>
      <c r="AZ20" s="283">
        <v>0</v>
      </c>
      <c r="BA20" s="283">
        <v>0</v>
      </c>
      <c r="BB20" s="284">
        <v>-3</v>
      </c>
      <c r="BC20" s="284">
        <v>-31.611111111111114</v>
      </c>
      <c r="BD20" s="284">
        <v>10.414682539682545</v>
      </c>
      <c r="BE20" s="285">
        <v>-8.125</v>
      </c>
      <c r="BF20" s="285">
        <v>-37.519841269841265</v>
      </c>
      <c r="BG20" s="285">
        <v>13.055555555555557</v>
      </c>
      <c r="BH20" s="25">
        <v>63.315742186778721</v>
      </c>
      <c r="BI20" s="25">
        <v>19.540625169133172</v>
      </c>
      <c r="BJ20" s="25">
        <v>17.143632644088118</v>
      </c>
      <c r="BK20" s="24">
        <v>36.684257813221294</v>
      </c>
      <c r="BL20" s="216" t="s">
        <v>1097</v>
      </c>
      <c r="BM20" s="29"/>
      <c r="BN20" s="8">
        <v>0.292714223</v>
      </c>
      <c r="BO20" s="8">
        <v>11.08037013</v>
      </c>
      <c r="BP20" s="8">
        <v>19.483426980000001</v>
      </c>
      <c r="BQ20" s="8">
        <v>13.23998199</v>
      </c>
      <c r="BR20" s="8">
        <v>3.8534688030000002</v>
      </c>
      <c r="BS20" s="26">
        <v>4.4774437E-2</v>
      </c>
      <c r="BT20" s="77">
        <v>6.6346121269999996</v>
      </c>
      <c r="BU20" s="77">
        <v>7.6705792539999997</v>
      </c>
      <c r="BV20" s="77">
        <v>2.6834188430000001</v>
      </c>
      <c r="BW20" s="68">
        <v>0.54568845099999996</v>
      </c>
      <c r="BX20" s="582">
        <v>1.8747648210000001</v>
      </c>
      <c r="BY20" s="582">
        <v>13.98126313</v>
      </c>
      <c r="BZ20" s="582">
        <v>28.140882260000001</v>
      </c>
      <c r="CA20" s="582">
        <v>21.453865260000001</v>
      </c>
      <c r="CB20" s="582">
        <v>9.2987960970000003</v>
      </c>
      <c r="CC20"/>
      <c r="CD20"/>
      <c r="CE20"/>
      <c r="CF20"/>
      <c r="CG20"/>
      <c r="CH20"/>
      <c r="CI20"/>
      <c r="CJ20"/>
      <c r="CK20"/>
      <c r="CL20"/>
      <c r="CM20"/>
      <c r="CN20"/>
      <c r="CO20"/>
      <c r="CP20"/>
      <c r="CQ20"/>
      <c r="CR20"/>
    </row>
    <row r="21" spans="1:96" ht="15" customHeight="1" x14ac:dyDescent="0.3">
      <c r="A21" s="207" t="s">
        <v>181</v>
      </c>
      <c r="B21" s="295" t="s">
        <v>182</v>
      </c>
      <c r="C21" s="146" t="s">
        <v>239</v>
      </c>
      <c r="D21" s="295" t="s">
        <v>240</v>
      </c>
      <c r="E21" s="291" t="s">
        <v>186</v>
      </c>
      <c r="F21" s="291" t="s">
        <v>983</v>
      </c>
      <c r="G21" s="281" t="s">
        <v>185</v>
      </c>
      <c r="H21" s="279"/>
      <c r="I21" s="151" t="s">
        <v>201</v>
      </c>
      <c r="J21" s="154" t="s">
        <v>201</v>
      </c>
      <c r="K21" s="199" t="s">
        <v>187</v>
      </c>
      <c r="L21" s="199" t="s">
        <v>187</v>
      </c>
      <c r="M21" s="462"/>
      <c r="N21" s="199"/>
      <c r="O21" s="199"/>
      <c r="P21" s="199">
        <v>21566</v>
      </c>
      <c r="Q21" s="199">
        <v>392</v>
      </c>
      <c r="R21" s="199"/>
      <c r="S21" s="126">
        <v>12</v>
      </c>
      <c r="T21" s="114">
        <v>-4.2901457065665909</v>
      </c>
      <c r="U21" s="114">
        <v>-7.2669074045959832</v>
      </c>
      <c r="V21" s="114">
        <v>-1.0729031313644697</v>
      </c>
      <c r="W21" s="115">
        <v>-6.8204583410292514</v>
      </c>
      <c r="X21" s="115">
        <v>-35.002750662909548</v>
      </c>
      <c r="Y21" s="115">
        <v>9.5048683775020493</v>
      </c>
      <c r="Z21" s="290">
        <v>-8.110817427014041</v>
      </c>
      <c r="AA21" s="290">
        <v>-37.368467500610528</v>
      </c>
      <c r="AB21" s="290">
        <v>12.965260430801479</v>
      </c>
      <c r="AC21" s="283">
        <v>0</v>
      </c>
      <c r="AD21" s="283">
        <v>0</v>
      </c>
      <c r="AE21" s="283">
        <v>0</v>
      </c>
      <c r="AF21" s="284">
        <v>-3</v>
      </c>
      <c r="AG21" s="284">
        <v>-32.277544351073757</v>
      </c>
      <c r="AH21" s="284">
        <v>10.902544351073772</v>
      </c>
      <c r="AI21" s="285">
        <v>-6.25</v>
      </c>
      <c r="AJ21" s="285">
        <v>-36.376633986928105</v>
      </c>
      <c r="AK21" s="285">
        <v>14.23377684407096</v>
      </c>
      <c r="AL21" s="61">
        <v>82.457846924722872</v>
      </c>
      <c r="AM21" s="61">
        <v>14.311599319020788</v>
      </c>
      <c r="AN21" s="61">
        <v>3.2305537562563464</v>
      </c>
      <c r="AO21" s="581">
        <v>17.542153075277135</v>
      </c>
      <c r="AP21" s="114">
        <v>-2.9128470124780108</v>
      </c>
      <c r="AQ21" s="114">
        <v>-4.8011239422302907</v>
      </c>
      <c r="AR21" s="114">
        <v>-0.78738165796765713</v>
      </c>
      <c r="AS21" s="30">
        <v>-5.5842083083834808</v>
      </c>
      <c r="AT21" s="30">
        <v>-34.187539445046838</v>
      </c>
      <c r="AU21" s="580">
        <v>9.884174389561295</v>
      </c>
      <c r="AV21" s="585">
        <v>-7.6129986219217898</v>
      </c>
      <c r="AW21" s="585">
        <v>-37.120216588547322</v>
      </c>
      <c r="AX21" s="586">
        <v>13.355745287176745</v>
      </c>
      <c r="AY21" s="283">
        <v>0</v>
      </c>
      <c r="AZ21" s="283">
        <v>0</v>
      </c>
      <c r="BA21" s="283">
        <v>0</v>
      </c>
      <c r="BB21" s="284">
        <v>-3</v>
      </c>
      <c r="BC21" s="284">
        <v>-32.277544351073757</v>
      </c>
      <c r="BD21" s="284">
        <v>10.902544351073772</v>
      </c>
      <c r="BE21" s="285">
        <v>-6.25</v>
      </c>
      <c r="BF21" s="285">
        <v>-36.376633986928105</v>
      </c>
      <c r="BG21" s="285">
        <v>14.23377684407096</v>
      </c>
      <c r="BH21" s="25">
        <v>89.095430992619669</v>
      </c>
      <c r="BI21" s="25">
        <v>7.6740152511239845</v>
      </c>
      <c r="BJ21" s="25">
        <v>3.2305537562563464</v>
      </c>
      <c r="BK21" s="24">
        <v>10.904569007380331</v>
      </c>
      <c r="BL21" s="216" t="s">
        <v>1097</v>
      </c>
      <c r="BN21" s="8">
        <v>4.4774437E-2</v>
      </c>
      <c r="BO21" s="8">
        <v>6.6346121269999996</v>
      </c>
      <c r="BP21" s="8">
        <v>7.6705792539999997</v>
      </c>
      <c r="BQ21" s="8">
        <v>2.6834188430000001</v>
      </c>
      <c r="BR21" s="8">
        <v>0.54568845099999996</v>
      </c>
      <c r="BS21" s="26">
        <v>0.19339010100000001</v>
      </c>
      <c r="BT21" s="77">
        <v>7.6887219929999997</v>
      </c>
      <c r="BU21" s="77">
        <v>15.849301710000001</v>
      </c>
      <c r="BV21" s="77">
        <v>11.040587909999999</v>
      </c>
      <c r="BW21" s="68">
        <v>2.054538349</v>
      </c>
      <c r="BX21" s="582">
        <v>6.8057285999999995E-2</v>
      </c>
      <c r="BY21" s="582">
        <v>4.1130271809999996</v>
      </c>
      <c r="BZ21" s="582">
        <v>7.8865586470000002</v>
      </c>
      <c r="CA21" s="582">
        <v>4.8298132430000003</v>
      </c>
      <c r="CB21" s="582">
        <v>0.74166728900000001</v>
      </c>
    </row>
    <row r="22" spans="1:96" ht="15" customHeight="1" x14ac:dyDescent="0.3">
      <c r="A22" s="207" t="s">
        <v>181</v>
      </c>
      <c r="B22" s="295" t="s">
        <v>182</v>
      </c>
      <c r="C22" s="146" t="s">
        <v>241</v>
      </c>
      <c r="D22" s="295" t="s">
        <v>242</v>
      </c>
      <c r="E22" s="291" t="s">
        <v>186</v>
      </c>
      <c r="F22" s="291" t="s">
        <v>984</v>
      </c>
      <c r="G22" s="281" t="s">
        <v>185</v>
      </c>
      <c r="H22" s="279"/>
      <c r="I22" s="151" t="s">
        <v>201</v>
      </c>
      <c r="J22" s="154" t="s">
        <v>201</v>
      </c>
      <c r="K22" s="199" t="s">
        <v>187</v>
      </c>
      <c r="L22" s="199" t="s">
        <v>187</v>
      </c>
      <c r="M22" s="462"/>
      <c r="N22" s="199"/>
      <c r="O22" s="199"/>
      <c r="P22" s="199">
        <v>103974</v>
      </c>
      <c r="Q22" s="199">
        <v>660</v>
      </c>
      <c r="R22" s="199"/>
      <c r="S22" s="126">
        <v>13</v>
      </c>
      <c r="T22" s="114">
        <v>-9.8798095149320488</v>
      </c>
      <c r="U22" s="114">
        <v>-16.547997320550351</v>
      </c>
      <c r="V22" s="114">
        <v>-2.9889216137208052</v>
      </c>
      <c r="W22" s="115">
        <v>-9.6465588641604256</v>
      </c>
      <c r="X22" s="115">
        <v>-37.085544834863484</v>
      </c>
      <c r="Y22" s="115">
        <v>8.9742604316082293</v>
      </c>
      <c r="Z22" s="290">
        <v>-5.7234928572536177</v>
      </c>
      <c r="AA22" s="290">
        <v>-36.657671494784346</v>
      </c>
      <c r="AB22" s="290">
        <v>15.442627130084517</v>
      </c>
      <c r="AC22" s="283">
        <v>0</v>
      </c>
      <c r="AD22" s="283">
        <v>0</v>
      </c>
      <c r="AE22" s="283">
        <v>0</v>
      </c>
      <c r="AF22" s="284">
        <v>-1.625</v>
      </c>
      <c r="AG22" s="284">
        <v>-29.537698412698404</v>
      </c>
      <c r="AH22" s="284">
        <v>12.327380952380949</v>
      </c>
      <c r="AI22" s="285">
        <v>-1.625</v>
      </c>
      <c r="AJ22" s="285">
        <v>-33.105158730158735</v>
      </c>
      <c r="AK22" s="285">
        <v>18.63095238095238</v>
      </c>
      <c r="AL22" s="61">
        <v>63.295867879821607</v>
      </c>
      <c r="AM22" s="61">
        <v>23.583632112962729</v>
      </c>
      <c r="AN22" s="61">
        <v>13.120500007215659</v>
      </c>
      <c r="AO22" s="581">
        <v>36.704132120178386</v>
      </c>
      <c r="AP22" s="114">
        <v>-8.3776036087778891</v>
      </c>
      <c r="AQ22" s="114">
        <v>-13.684818542154005</v>
      </c>
      <c r="AR22" s="114">
        <v>-2.6148986332202924</v>
      </c>
      <c r="AS22" s="30">
        <v>-8.5102749095053696</v>
      </c>
      <c r="AT22" s="30">
        <v>-36.07140569595159</v>
      </c>
      <c r="AU22" s="580">
        <v>9.2424035924406098</v>
      </c>
      <c r="AV22" s="585">
        <v>-5.3383118556756273</v>
      </c>
      <c r="AW22" s="585">
        <v>-36.25616255905917</v>
      </c>
      <c r="AX22" s="586">
        <v>15.898442630924791</v>
      </c>
      <c r="AY22" s="283">
        <v>0</v>
      </c>
      <c r="AZ22" s="283">
        <v>0</v>
      </c>
      <c r="BA22" s="283">
        <v>0</v>
      </c>
      <c r="BB22" s="284">
        <v>-1.625</v>
      </c>
      <c r="BC22" s="284">
        <v>-29.537698412698404</v>
      </c>
      <c r="BD22" s="284">
        <v>12.327380952380949</v>
      </c>
      <c r="BE22" s="285">
        <v>-1.625</v>
      </c>
      <c r="BF22" s="285">
        <v>-33.105158730158735</v>
      </c>
      <c r="BG22" s="285">
        <v>18.63095238095238</v>
      </c>
      <c r="BH22" s="25">
        <v>70.999487911381294</v>
      </c>
      <c r="BI22" s="25">
        <v>15.880012081403038</v>
      </c>
      <c r="BJ22" s="25">
        <v>13.120500007215661</v>
      </c>
      <c r="BK22" s="24">
        <v>29.000512088618699</v>
      </c>
      <c r="BL22" s="216" t="s">
        <v>1097</v>
      </c>
      <c r="BN22" s="8">
        <v>0.19339010100000001</v>
      </c>
      <c r="BO22" s="8">
        <v>7.6887219929999997</v>
      </c>
      <c r="BP22" s="8">
        <v>15.849301710000001</v>
      </c>
      <c r="BQ22" s="8">
        <v>11.040587909999999</v>
      </c>
      <c r="BR22" s="8">
        <v>2.054538349</v>
      </c>
      <c r="BS22" s="26">
        <v>1.0245486800000001</v>
      </c>
      <c r="BT22" s="77">
        <v>5.6273664920000002</v>
      </c>
      <c r="BU22" s="77">
        <v>12.80557643</v>
      </c>
      <c r="BV22" s="77">
        <v>10.943372439999999</v>
      </c>
      <c r="BW22" s="68">
        <v>6.4891517470000002</v>
      </c>
      <c r="BX22" s="582">
        <v>0.245326134</v>
      </c>
      <c r="BY22" s="582">
        <v>7.2527108140000003</v>
      </c>
      <c r="BZ22" s="582">
        <v>13.179060489999999</v>
      </c>
      <c r="CA22" s="582">
        <v>8.4582996230000003</v>
      </c>
      <c r="CB22" s="582">
        <v>1.3616338320000001</v>
      </c>
    </row>
    <row r="23" spans="1:96" ht="15" customHeight="1" x14ac:dyDescent="0.3">
      <c r="A23" s="207" t="s">
        <v>181</v>
      </c>
      <c r="B23" s="146" t="s">
        <v>197</v>
      </c>
      <c r="C23" s="146" t="s">
        <v>243</v>
      </c>
      <c r="D23" s="295" t="s">
        <v>244</v>
      </c>
      <c r="E23" s="291" t="s">
        <v>200</v>
      </c>
      <c r="F23" s="291" t="s">
        <v>985</v>
      </c>
      <c r="G23" s="281" t="s">
        <v>185</v>
      </c>
      <c r="H23" s="279"/>
      <c r="I23" s="151"/>
      <c r="J23" s="154" t="s">
        <v>201</v>
      </c>
      <c r="K23" s="199" t="s">
        <v>187</v>
      </c>
      <c r="L23" s="199" t="s">
        <v>187</v>
      </c>
      <c r="M23" s="462"/>
      <c r="N23" s="199"/>
      <c r="O23" s="199"/>
      <c r="P23" s="199">
        <v>2512</v>
      </c>
      <c r="Q23" s="199">
        <v>152</v>
      </c>
      <c r="R23" s="199"/>
      <c r="S23" s="126">
        <v>14</v>
      </c>
      <c r="T23" s="114">
        <v>-13.298130409275004</v>
      </c>
      <c r="U23" s="114">
        <v>-21.694098682653191</v>
      </c>
      <c r="V23" s="114">
        <v>-6.0350797771757954</v>
      </c>
      <c r="W23" s="115">
        <v>-19.253071179235008</v>
      </c>
      <c r="X23" s="115">
        <v>-33.820045150120833</v>
      </c>
      <c r="Y23" s="115">
        <v>-6.7791876649224463</v>
      </c>
      <c r="Z23" s="290">
        <v>-31.213126460482499</v>
      </c>
      <c r="AA23" s="290">
        <v>-49.868308788754263</v>
      </c>
      <c r="AB23" s="290">
        <v>-12.924967103966793</v>
      </c>
      <c r="AC23" s="283">
        <v>0</v>
      </c>
      <c r="AD23" s="283">
        <v>0</v>
      </c>
      <c r="AE23" s="283">
        <v>0</v>
      </c>
      <c r="AF23" s="284">
        <v>-3.375</v>
      </c>
      <c r="AG23" s="284">
        <v>-15.527777777777771</v>
      </c>
      <c r="AH23" s="284">
        <v>0.81746031746031633</v>
      </c>
      <c r="AI23" s="285">
        <v>-18.125</v>
      </c>
      <c r="AJ23" s="285">
        <v>-36.381886087768436</v>
      </c>
      <c r="AK23" s="285">
        <v>-6.9823762838468753</v>
      </c>
      <c r="AL23" s="61">
        <v>53.309780125999978</v>
      </c>
      <c r="AM23" s="61">
        <v>38.398806620000016</v>
      </c>
      <c r="AN23" s="61">
        <v>8.2914132540000018</v>
      </c>
      <c r="AO23" s="581">
        <v>46.690219874000022</v>
      </c>
      <c r="AP23" s="114">
        <v>-9.5856202329000126</v>
      </c>
      <c r="AQ23" s="114">
        <v>-15.192295146250416</v>
      </c>
      <c r="AR23" s="114">
        <v>-4.5150206654813587</v>
      </c>
      <c r="AS23" s="30">
        <v>-14.607673830335003</v>
      </c>
      <c r="AT23" s="30">
        <v>-28.464498795805326</v>
      </c>
      <c r="AU23" s="580">
        <v>-4.5901852199082356</v>
      </c>
      <c r="AV23" s="585">
        <v>-27.538693311557509</v>
      </c>
      <c r="AW23" s="585">
        <v>-46.147959224374851</v>
      </c>
      <c r="AX23" s="586">
        <v>-11.418044744506517</v>
      </c>
      <c r="AY23" s="283">
        <v>0</v>
      </c>
      <c r="AZ23" s="283">
        <v>0</v>
      </c>
      <c r="BA23" s="283">
        <v>0</v>
      </c>
      <c r="BB23" s="284">
        <v>-3.375</v>
      </c>
      <c r="BC23" s="284">
        <v>-15.527777777777771</v>
      </c>
      <c r="BD23" s="284">
        <v>0.81746031746031633</v>
      </c>
      <c r="BE23" s="285">
        <v>-18.125</v>
      </c>
      <c r="BF23" s="285">
        <v>-36.381886087768436</v>
      </c>
      <c r="BG23" s="285">
        <v>-6.9823762838468753</v>
      </c>
      <c r="BH23" s="25">
        <v>68.54059110599998</v>
      </c>
      <c r="BI23" s="25">
        <v>23.167995640000008</v>
      </c>
      <c r="BJ23" s="25">
        <v>8.2914132540000018</v>
      </c>
      <c r="BK23" s="24">
        <v>31.45940889400001</v>
      </c>
      <c r="BL23" s="216" t="s">
        <v>1097</v>
      </c>
      <c r="BN23" s="8">
        <v>3.2000000000000002E-14</v>
      </c>
      <c r="BO23" s="8">
        <v>15.230810979999999</v>
      </c>
      <c r="BP23" s="8">
        <v>23.167995640000001</v>
      </c>
      <c r="BQ23" s="8">
        <v>7.2764892249999997</v>
      </c>
      <c r="BR23" s="8">
        <v>1.0149240289999999</v>
      </c>
      <c r="BS23" s="26">
        <v>0.177726774</v>
      </c>
      <c r="BT23" s="77">
        <v>40.037602679999999</v>
      </c>
      <c r="BU23" s="77">
        <v>32.572043909999998</v>
      </c>
      <c r="BV23" s="77">
        <v>16.423711310000002</v>
      </c>
      <c r="BW23" s="68">
        <v>1.7795556830000001</v>
      </c>
      <c r="BX23" s="582">
        <v>0.37265611700000001</v>
      </c>
      <c r="BY23" s="582">
        <v>6.6685494810000003</v>
      </c>
      <c r="BZ23" s="582">
        <v>17.30480652</v>
      </c>
      <c r="CA23" s="582">
        <v>8.0811806199999996</v>
      </c>
      <c r="CB23" s="582">
        <v>1.1289244650000001</v>
      </c>
    </row>
    <row r="24" spans="1:96" ht="15" customHeight="1" x14ac:dyDescent="0.3">
      <c r="A24" s="207" t="s">
        <v>181</v>
      </c>
      <c r="B24" s="146" t="s">
        <v>197</v>
      </c>
      <c r="C24" s="146" t="s">
        <v>245</v>
      </c>
      <c r="D24" s="146" t="s">
        <v>246</v>
      </c>
      <c r="E24" s="291" t="s">
        <v>200</v>
      </c>
      <c r="F24" s="291" t="s">
        <v>986</v>
      </c>
      <c r="G24" s="128" t="s">
        <v>185</v>
      </c>
      <c r="H24" s="279"/>
      <c r="J24" s="129" t="s">
        <v>201</v>
      </c>
      <c r="K24" s="135" t="s">
        <v>188</v>
      </c>
      <c r="L24" s="135"/>
      <c r="M24" s="464" t="s">
        <v>972</v>
      </c>
      <c r="N24" s="135"/>
      <c r="O24" s="135"/>
      <c r="P24" s="135">
        <v>1164</v>
      </c>
      <c r="Q24" s="135">
        <v>188</v>
      </c>
      <c r="R24" s="135"/>
      <c r="S24" s="126">
        <v>15</v>
      </c>
      <c r="T24" s="114">
        <v>-26.506031912126588</v>
      </c>
      <c r="U24" s="114">
        <v>-43.454819348508479</v>
      </c>
      <c r="V24" s="114">
        <v>-11.647647269977625</v>
      </c>
      <c r="W24" s="115">
        <v>-34.577136330052241</v>
      </c>
      <c r="X24" s="115">
        <v>-51.20423812835498</v>
      </c>
      <c r="Y24" s="115">
        <v>-13.390801724304808</v>
      </c>
      <c r="Z24" s="290">
        <v>-39.027825978639171</v>
      </c>
      <c r="AA24" s="290">
        <v>-57.7905249730767</v>
      </c>
      <c r="AB24" s="290">
        <v>-13.936210421091133</v>
      </c>
      <c r="AC24" s="283">
        <v>0</v>
      </c>
      <c r="AD24" s="283">
        <v>0</v>
      </c>
      <c r="AE24" s="283">
        <v>0</v>
      </c>
      <c r="AF24" s="284">
        <v>-1.75</v>
      </c>
      <c r="AG24" s="284">
        <v>-14.632936507936506</v>
      </c>
      <c r="AH24" s="284">
        <v>1.4146825396825449</v>
      </c>
      <c r="AI24" s="285">
        <v>-10</v>
      </c>
      <c r="AJ24" s="285">
        <v>-25.210084033613441</v>
      </c>
      <c r="AK24" s="285">
        <v>-3.0199579831932795</v>
      </c>
      <c r="AL24" s="61">
        <v>9.0254001956082313</v>
      </c>
      <c r="AM24" s="61">
        <v>72.738923131524004</v>
      </c>
      <c r="AN24" s="61">
        <v>18.235676672867765</v>
      </c>
      <c r="AO24" s="581">
        <v>90.974599804391772</v>
      </c>
      <c r="AP24" s="114">
        <v>-16.729490727620586</v>
      </c>
      <c r="AQ24" s="114">
        <v>-26.078280743405614</v>
      </c>
      <c r="AR24" s="114">
        <v>-7.8675438408849487</v>
      </c>
      <c r="AS24" s="30">
        <v>-21.692156409959694</v>
      </c>
      <c r="AT24" s="30">
        <v>-36.928226958782709</v>
      </c>
      <c r="AU24" s="580">
        <v>-7.8069218824591786</v>
      </c>
      <c r="AV24" s="585">
        <v>-27.596793209062923</v>
      </c>
      <c r="AW24" s="585">
        <v>-45.479699462368949</v>
      </c>
      <c r="AX24" s="586">
        <v>-9.9447488869538319</v>
      </c>
      <c r="AY24" s="283">
        <v>0</v>
      </c>
      <c r="AZ24" s="283">
        <v>0</v>
      </c>
      <c r="BA24" s="283">
        <v>0</v>
      </c>
      <c r="BB24" s="284">
        <v>-1.75</v>
      </c>
      <c r="BC24" s="284">
        <v>-14.632936507936506</v>
      </c>
      <c r="BD24" s="284">
        <v>1.4146825396825449</v>
      </c>
      <c r="BE24" s="285">
        <v>-10</v>
      </c>
      <c r="BF24" s="285">
        <v>-25.210084033613441</v>
      </c>
      <c r="BG24" s="285">
        <v>-3.0199579831932795</v>
      </c>
      <c r="BH24" s="25">
        <v>39.537412388431363</v>
      </c>
      <c r="BI24" s="25">
        <v>23.630238121797618</v>
      </c>
      <c r="BJ24" s="25">
        <v>36.832349489771019</v>
      </c>
      <c r="BK24" s="24">
        <v>60.462587611568637</v>
      </c>
      <c r="BL24" s="216" t="s">
        <v>1097</v>
      </c>
      <c r="BN24" s="8">
        <v>0.177726774</v>
      </c>
      <c r="BO24" s="8">
        <v>40.037602679999999</v>
      </c>
      <c r="BP24" s="8">
        <v>32.572043909999998</v>
      </c>
      <c r="BQ24" s="8">
        <v>16.423711310000002</v>
      </c>
      <c r="BR24" s="8">
        <v>1.7795556830000001</v>
      </c>
      <c r="BS24" s="26" t="s">
        <v>220</v>
      </c>
      <c r="BT24" s="77" t="s">
        <v>220</v>
      </c>
      <c r="BU24" s="77" t="s">
        <v>220</v>
      </c>
      <c r="BV24" s="77" t="s">
        <v>220</v>
      </c>
      <c r="BW24" s="68" t="s">
        <v>220</v>
      </c>
      <c r="BX24" s="582">
        <v>0.428661032</v>
      </c>
      <c r="BY24" s="582">
        <v>26.557218290000002</v>
      </c>
      <c r="BZ24" s="582">
        <v>28.680790030000001</v>
      </c>
      <c r="CA24" s="582">
        <v>15.172289429999999</v>
      </c>
      <c r="CB24" s="582">
        <v>1.70837869</v>
      </c>
    </row>
    <row r="25" spans="1:96" ht="15" customHeight="1" x14ac:dyDescent="0.3">
      <c r="A25" s="207" t="s">
        <v>181</v>
      </c>
      <c r="B25" s="146" t="s">
        <v>197</v>
      </c>
      <c r="C25" s="146" t="s">
        <v>247</v>
      </c>
      <c r="D25" s="146" t="s">
        <v>248</v>
      </c>
      <c r="E25" s="291" t="s">
        <v>200</v>
      </c>
      <c r="F25" s="291" t="s">
        <v>987</v>
      </c>
      <c r="G25" s="128" t="s">
        <v>185</v>
      </c>
      <c r="H25" s="279"/>
      <c r="I25" s="151"/>
      <c r="J25" s="129" t="s">
        <v>201</v>
      </c>
      <c r="K25" s="135" t="s">
        <v>201</v>
      </c>
      <c r="L25" s="135"/>
      <c r="M25" s="461" t="s">
        <v>201</v>
      </c>
      <c r="N25" s="135"/>
      <c r="O25" s="135"/>
      <c r="P25" s="135">
        <v>463</v>
      </c>
      <c r="Q25" s="135">
        <v>48</v>
      </c>
      <c r="R25" s="135"/>
      <c r="S25" s="126">
        <v>16</v>
      </c>
      <c r="T25" s="114">
        <v>-2.5662546677748281</v>
      </c>
      <c r="U25" s="114">
        <v>-4.0154713100621251</v>
      </c>
      <c r="V25" s="114">
        <v>-1.2504493962335061</v>
      </c>
      <c r="W25" s="115">
        <v>-6.2931747457837162</v>
      </c>
      <c r="X25" s="115">
        <v>-20.37137037341833</v>
      </c>
      <c r="Y25" s="115">
        <v>-0.76313938989882502</v>
      </c>
      <c r="Z25" s="290">
        <v>-20.043569523301656</v>
      </c>
      <c r="AA25" s="290">
        <v>-39.486590870649657</v>
      </c>
      <c r="AB25" s="290">
        <v>-8.2096790366684189</v>
      </c>
      <c r="AC25" s="283">
        <v>0</v>
      </c>
      <c r="AD25" s="283">
        <v>0</v>
      </c>
      <c r="AE25" s="283">
        <v>0</v>
      </c>
      <c r="AF25" s="284">
        <v>-3.375</v>
      </c>
      <c r="AG25" s="284">
        <v>-17.134920634920633</v>
      </c>
      <c r="AH25" s="284">
        <v>0.63888888888888573</v>
      </c>
      <c r="AI25" s="285">
        <v>-17.5</v>
      </c>
      <c r="AJ25" s="285">
        <v>-36.917600373482728</v>
      </c>
      <c r="AK25" s="285">
        <v>-6.9823762838468753</v>
      </c>
      <c r="AL25" s="61">
        <v>92.335178691164728</v>
      </c>
      <c r="AM25" s="61">
        <v>4.7260656299037587</v>
      </c>
      <c r="AN25" s="61">
        <v>2.9387556789315203</v>
      </c>
      <c r="AO25" s="581">
        <v>7.664821308835279</v>
      </c>
      <c r="AP25" s="114">
        <v>-2.2348003854451264</v>
      </c>
      <c r="AQ25" s="114">
        <v>-3.4125941477782362</v>
      </c>
      <c r="AR25" s="114">
        <v>-1.1147379562564197</v>
      </c>
      <c r="AS25" s="30">
        <v>-5.8784319514839893</v>
      </c>
      <c r="AT25" s="30">
        <v>-19.915079341635717</v>
      </c>
      <c r="AU25" s="580">
        <v>-0.57013267808672197</v>
      </c>
      <c r="AV25" s="585">
        <v>-19.707015944320716</v>
      </c>
      <c r="AW25" s="585">
        <v>-39.161721394359766</v>
      </c>
      <c r="AX25" s="586">
        <v>-8.0751404507919631</v>
      </c>
      <c r="AY25" s="283">
        <v>0</v>
      </c>
      <c r="AZ25" s="283">
        <v>0</v>
      </c>
      <c r="BA25" s="283">
        <v>0</v>
      </c>
      <c r="BB25" s="284">
        <v>-3.375</v>
      </c>
      <c r="BC25" s="284">
        <v>-17.134920634920633</v>
      </c>
      <c r="BD25" s="284">
        <v>0.63888888888888573</v>
      </c>
      <c r="BE25" s="285">
        <v>-17.5</v>
      </c>
      <c r="BF25" s="285">
        <v>-36.917600373482728</v>
      </c>
      <c r="BG25" s="285">
        <v>-6.9823762838468753</v>
      </c>
      <c r="BH25" s="25">
        <v>93.694991131491761</v>
      </c>
      <c r="BI25" s="25">
        <v>3.3662531895767187</v>
      </c>
      <c r="BJ25" s="25">
        <v>2.9387556789315203</v>
      </c>
      <c r="BK25" s="24">
        <v>6.3050088685082386</v>
      </c>
      <c r="BL25" s="216" t="s">
        <v>92</v>
      </c>
      <c r="BN25" s="582">
        <v>5.3417538000000001E-2</v>
      </c>
      <c r="BO25" s="582">
        <v>1.359086062</v>
      </c>
      <c r="BP25" s="582">
        <v>3.3644550199999999</v>
      </c>
      <c r="BQ25" s="582">
        <v>2.2187651019999999</v>
      </c>
      <c r="BR25" s="582">
        <v>0.71842076600000004</v>
      </c>
      <c r="BS25" s="26" t="s">
        <v>220</v>
      </c>
      <c r="BT25" s="77" t="s">
        <v>220</v>
      </c>
      <c r="BU25" s="77" t="s">
        <v>220</v>
      </c>
      <c r="BV25" s="77" t="s">
        <v>220</v>
      </c>
      <c r="BW25" s="68" t="s">
        <v>220</v>
      </c>
      <c r="BX25" s="582">
        <v>5.3417538000000001E-2</v>
      </c>
      <c r="BY25" s="582">
        <v>1.359086062</v>
      </c>
      <c r="BZ25" s="582">
        <v>3.3644550199999999</v>
      </c>
      <c r="CA25" s="582">
        <v>2.2187651019999999</v>
      </c>
      <c r="CB25" s="582">
        <v>0.71842076600000004</v>
      </c>
    </row>
    <row r="26" spans="1:96" ht="15" customHeight="1" x14ac:dyDescent="0.3">
      <c r="A26" s="207" t="s">
        <v>181</v>
      </c>
      <c r="B26" s="146" t="s">
        <v>197</v>
      </c>
      <c r="C26" s="146" t="s">
        <v>249</v>
      </c>
      <c r="D26" s="146" t="s">
        <v>250</v>
      </c>
      <c r="E26" s="291" t="s">
        <v>200</v>
      </c>
      <c r="F26" s="291" t="s">
        <v>988</v>
      </c>
      <c r="G26" s="128" t="s">
        <v>185</v>
      </c>
      <c r="H26" s="279" t="s">
        <v>251</v>
      </c>
      <c r="J26" s="129" t="s">
        <v>201</v>
      </c>
      <c r="K26" s="135" t="s">
        <v>188</v>
      </c>
      <c r="L26" s="135"/>
      <c r="M26" s="460" t="s">
        <v>972</v>
      </c>
      <c r="N26" s="135"/>
      <c r="O26" s="135"/>
      <c r="P26" s="135">
        <v>16470</v>
      </c>
      <c r="Q26" s="135">
        <v>1076</v>
      </c>
      <c r="R26" s="135"/>
      <c r="S26" s="126">
        <v>17</v>
      </c>
      <c r="T26" s="114">
        <v>-16.040613310665051</v>
      </c>
      <c r="U26" s="114">
        <v>-29.175552782455838</v>
      </c>
      <c r="V26" s="114">
        <v>-6.74228996674276</v>
      </c>
      <c r="W26" s="115">
        <v>-21.008858891692327</v>
      </c>
      <c r="X26" s="115">
        <v>-37.871378842186829</v>
      </c>
      <c r="Y26" s="115">
        <v>-7.1676997409512211</v>
      </c>
      <c r="Z26" s="290">
        <v>-29.027812174115368</v>
      </c>
      <c r="AA26" s="290">
        <v>-44.667325481695066</v>
      </c>
      <c r="AB26" s="290">
        <v>-9.5087440302133786</v>
      </c>
      <c r="AC26" s="283">
        <v>0</v>
      </c>
      <c r="AD26" s="283">
        <v>0</v>
      </c>
      <c r="AE26" s="283">
        <v>0</v>
      </c>
      <c r="AF26" s="284">
        <v>-3.375</v>
      </c>
      <c r="AG26" s="284">
        <v>-14.487861811391227</v>
      </c>
      <c r="AH26" s="284">
        <v>-0.61111111111111427</v>
      </c>
      <c r="AI26" s="285">
        <v>-13.75</v>
      </c>
      <c r="AJ26" s="285">
        <v>-28.224789915966383</v>
      </c>
      <c r="AK26" s="285">
        <v>-5.5934873949579753</v>
      </c>
      <c r="AL26" s="61">
        <v>36.161947466224483</v>
      </c>
      <c r="AM26" s="61">
        <v>43.280230307081133</v>
      </c>
      <c r="AN26" s="61">
        <v>20.557822226694384</v>
      </c>
      <c r="AO26" s="581">
        <v>63.838052533775517</v>
      </c>
      <c r="AP26" s="114">
        <v>-13.563092061296913</v>
      </c>
      <c r="AQ26" s="114">
        <v>-23.511190560943362</v>
      </c>
      <c r="AR26" s="114">
        <v>-6.0519048566895606</v>
      </c>
      <c r="AS26" s="30">
        <v>-18.182649466487192</v>
      </c>
      <c r="AT26" s="30">
        <v>-33.867128068482117</v>
      </c>
      <c r="AU26" s="580">
        <v>-6.4471391983141473</v>
      </c>
      <c r="AV26" s="585">
        <v>-26.495234896983476</v>
      </c>
      <c r="AW26" s="585">
        <v>-42.199382918763256</v>
      </c>
      <c r="AX26" s="586">
        <v>-9.2941917352772663</v>
      </c>
      <c r="AY26" s="283">
        <v>0</v>
      </c>
      <c r="AZ26" s="283">
        <v>0</v>
      </c>
      <c r="BA26" s="283">
        <v>0</v>
      </c>
      <c r="BB26" s="284">
        <v>-3.375</v>
      </c>
      <c r="BC26" s="284">
        <v>-14.487861811391227</v>
      </c>
      <c r="BD26" s="284">
        <v>-0.61111111111111427</v>
      </c>
      <c r="BE26" s="285">
        <v>-13.75</v>
      </c>
      <c r="BF26" s="285">
        <v>-28.224789915966383</v>
      </c>
      <c r="BG26" s="285">
        <v>-5.5934873949579753</v>
      </c>
      <c r="BH26" s="25">
        <v>50.843554869887527</v>
      </c>
      <c r="BI26" s="25">
        <v>28.598622903418093</v>
      </c>
      <c r="BJ26" s="25">
        <v>20.557822226694384</v>
      </c>
      <c r="BK26" s="24">
        <v>49.156445130112473</v>
      </c>
      <c r="BL26" s="216" t="s">
        <v>92</v>
      </c>
      <c r="BN26" s="582">
        <v>0.95010866199999999</v>
      </c>
      <c r="BO26" s="582">
        <v>14.542116180000001</v>
      </c>
      <c r="BP26" s="582">
        <v>28.32690491</v>
      </c>
      <c r="BQ26" s="582">
        <v>17.915892270000001</v>
      </c>
      <c r="BR26" s="582">
        <v>2.446608307</v>
      </c>
      <c r="BS26" s="26">
        <v>0.241496451</v>
      </c>
      <c r="BT26" s="77">
        <v>11.12672806</v>
      </c>
      <c r="BU26" s="77">
        <v>20.460797729999999</v>
      </c>
      <c r="BV26" s="77">
        <v>15.4884764</v>
      </c>
      <c r="BW26" s="68">
        <v>2.4986173749999998</v>
      </c>
      <c r="BX26" s="582">
        <v>0.95010866199999999</v>
      </c>
      <c r="BY26" s="582">
        <v>14.542116180000001</v>
      </c>
      <c r="BZ26" s="582">
        <v>28.32690491</v>
      </c>
      <c r="CA26" s="582">
        <v>17.915892270000001</v>
      </c>
      <c r="CB26" s="582">
        <v>2.446608307</v>
      </c>
    </row>
    <row r="27" spans="1:96" ht="15" customHeight="1" x14ac:dyDescent="0.3">
      <c r="A27" s="207" t="s">
        <v>181</v>
      </c>
      <c r="B27" s="295" t="s">
        <v>182</v>
      </c>
      <c r="C27" s="146" t="s">
        <v>252</v>
      </c>
      <c r="D27" s="146" t="s">
        <v>253</v>
      </c>
      <c r="E27" s="291" t="s">
        <v>186</v>
      </c>
      <c r="F27" s="291" t="s">
        <v>879</v>
      </c>
      <c r="G27" s="128" t="s">
        <v>185</v>
      </c>
      <c r="H27" s="279"/>
      <c r="J27" s="129" t="s">
        <v>187</v>
      </c>
      <c r="K27" s="135" t="s">
        <v>188</v>
      </c>
      <c r="L27" s="135"/>
      <c r="M27" s="460" t="s">
        <v>971</v>
      </c>
      <c r="N27" s="135"/>
      <c r="O27" s="135"/>
      <c r="P27" s="135">
        <v>20725</v>
      </c>
      <c r="Q27" s="135">
        <v>4628</v>
      </c>
      <c r="R27" s="135"/>
      <c r="S27" s="126">
        <v>22</v>
      </c>
      <c r="T27" s="114">
        <v>-10.486975144509998</v>
      </c>
      <c r="U27" s="114">
        <v>-17.31065087045647</v>
      </c>
      <c r="V27" s="114">
        <v>-4.0492413194892123</v>
      </c>
      <c r="W27" s="115">
        <v>-9.1846876394309191</v>
      </c>
      <c r="X27" s="115">
        <v>-22.152056243932293</v>
      </c>
      <c r="Y27" s="115">
        <v>0.12320680888426239</v>
      </c>
      <c r="Z27" s="290">
        <v>-5.3283852716792239</v>
      </c>
      <c r="AA27" s="290">
        <v>-21.285043031133057</v>
      </c>
      <c r="AB27" s="290">
        <v>2.9703658573073284</v>
      </c>
      <c r="AC27" s="283">
        <v>0</v>
      </c>
      <c r="AD27" s="283">
        <v>0</v>
      </c>
      <c r="AE27" s="283">
        <v>0</v>
      </c>
      <c r="AF27" s="284">
        <v>-2.25</v>
      </c>
      <c r="AG27" s="284">
        <v>-11.561274509803923</v>
      </c>
      <c r="AH27" s="284">
        <v>2.6764705882352899</v>
      </c>
      <c r="AI27" s="285">
        <v>-2.875</v>
      </c>
      <c r="AJ27" s="285">
        <v>-15.964052287581694</v>
      </c>
      <c r="AK27" s="285">
        <v>3.5375816993464042</v>
      </c>
      <c r="AL27" s="61">
        <v>50.305369666406797</v>
      </c>
      <c r="AM27" s="61">
        <v>31.663993209846662</v>
      </c>
      <c r="AN27" s="61">
        <v>18.030637123746537</v>
      </c>
      <c r="AO27" s="581">
        <v>49.694630333593196</v>
      </c>
      <c r="AP27" s="114">
        <v>-8.6745047831618933</v>
      </c>
      <c r="AQ27" s="114">
        <v>-14.175895965878254</v>
      </c>
      <c r="AR27" s="114">
        <v>-3.5933574434968847</v>
      </c>
      <c r="AS27" s="30">
        <v>-8.1947999805407932</v>
      </c>
      <c r="AT27" s="30">
        <v>-20.764253038569947</v>
      </c>
      <c r="AU27" s="580">
        <v>0.34297355915560956</v>
      </c>
      <c r="AV27" s="585">
        <v>-5.091369916733683</v>
      </c>
      <c r="AW27" s="585">
        <v>-20.553962549244744</v>
      </c>
      <c r="AX27" s="586">
        <v>3.0162927080926352</v>
      </c>
      <c r="AY27" s="283">
        <v>0</v>
      </c>
      <c r="AZ27" s="283">
        <v>0</v>
      </c>
      <c r="BA27" s="283">
        <v>0</v>
      </c>
      <c r="BB27" s="284">
        <v>-2.25</v>
      </c>
      <c r="BC27" s="284">
        <v>-11.561274509803923</v>
      </c>
      <c r="BD27" s="284">
        <v>2.6764705882352899</v>
      </c>
      <c r="BE27" s="285">
        <v>-2.875</v>
      </c>
      <c r="BF27" s="285">
        <v>-15.964052287581694</v>
      </c>
      <c r="BG27" s="285">
        <v>3.5375816993464042</v>
      </c>
      <c r="BH27" s="25">
        <v>38.504498244631819</v>
      </c>
      <c r="BI27" s="25">
        <v>26.970495267790284</v>
      </c>
      <c r="BJ27" s="25">
        <v>34.525006487577897</v>
      </c>
      <c r="BK27" s="24">
        <v>61.495501755368181</v>
      </c>
      <c r="BL27" s="216" t="s">
        <v>1097</v>
      </c>
      <c r="BN27" s="8">
        <v>0.241496451</v>
      </c>
      <c r="BO27" s="8">
        <v>11.12672806</v>
      </c>
      <c r="BP27" s="8">
        <v>20.460797729999999</v>
      </c>
      <c r="BQ27" s="8">
        <v>15.4884764</v>
      </c>
      <c r="BR27" s="8">
        <v>2.4986173749999998</v>
      </c>
      <c r="BS27" s="26" t="s">
        <v>220</v>
      </c>
      <c r="BT27" s="77" t="s">
        <v>220</v>
      </c>
      <c r="BU27" s="77" t="s">
        <v>220</v>
      </c>
      <c r="BV27" s="77" t="s">
        <v>220</v>
      </c>
      <c r="BW27" s="68" t="s">
        <v>220</v>
      </c>
      <c r="BX27" s="582">
        <v>0.43710336</v>
      </c>
      <c r="BY27" s="582">
        <v>9.9707045169999997</v>
      </c>
      <c r="BZ27" s="582">
        <v>19.221788879999998</v>
      </c>
      <c r="CA27" s="582">
        <v>14.6901326</v>
      </c>
      <c r="CB27" s="582">
        <v>2.3533792</v>
      </c>
    </row>
    <row r="28" spans="1:96" ht="15" customHeight="1" x14ac:dyDescent="0.3">
      <c r="A28" s="207" t="s">
        <v>181</v>
      </c>
      <c r="B28" s="295" t="s">
        <v>182</v>
      </c>
      <c r="C28" s="146" t="s">
        <v>254</v>
      </c>
      <c r="D28" s="146" t="s">
        <v>255</v>
      </c>
      <c r="E28" s="291" t="s">
        <v>186</v>
      </c>
      <c r="F28" s="291" t="s">
        <v>879</v>
      </c>
      <c r="G28" s="128" t="s">
        <v>215</v>
      </c>
      <c r="H28" s="279" t="s">
        <v>256</v>
      </c>
      <c r="J28" s="129" t="s">
        <v>873</v>
      </c>
      <c r="K28" s="135" t="s">
        <v>188</v>
      </c>
      <c r="L28" s="407" t="s">
        <v>973</v>
      </c>
      <c r="M28" s="461"/>
      <c r="N28" s="135"/>
      <c r="O28" s="135"/>
      <c r="P28" s="135">
        <v>4400</v>
      </c>
      <c r="Q28" s="135">
        <v>1500</v>
      </c>
      <c r="R28" s="135"/>
      <c r="S28" s="126">
        <v>23</v>
      </c>
      <c r="T28" s="114">
        <v>-3.2231469509708148</v>
      </c>
      <c r="U28" s="114">
        <v>-5.2778541339762199</v>
      </c>
      <c r="V28" s="114">
        <v>-1.9268040063062699</v>
      </c>
      <c r="W28" s="115">
        <v>-6.6189527481220125</v>
      </c>
      <c r="X28" s="115">
        <v>-18.186575506820546</v>
      </c>
      <c r="Y28" s="115">
        <v>0.8858572558118567</v>
      </c>
      <c r="Z28" s="290">
        <v>-7.4783296948735369</v>
      </c>
      <c r="AA28" s="290">
        <v>-23.633114134536427</v>
      </c>
      <c r="AB28" s="290">
        <v>2.0412360517158845</v>
      </c>
      <c r="AC28" s="283">
        <v>0</v>
      </c>
      <c r="AD28" s="283">
        <v>0</v>
      </c>
      <c r="AE28" s="283">
        <v>0</v>
      </c>
      <c r="AF28" s="284">
        <v>-3.75</v>
      </c>
      <c r="AG28" s="284">
        <v>-14.109126984126988</v>
      </c>
      <c r="AH28" s="284">
        <v>2.8095238095238102</v>
      </c>
      <c r="AI28" s="285">
        <v>-5.625</v>
      </c>
      <c r="AJ28" s="285">
        <v>-20.773809523809518</v>
      </c>
      <c r="AK28" s="285">
        <v>3.2738095238095184</v>
      </c>
      <c r="AL28" s="61">
        <v>88.727884714683555</v>
      </c>
      <c r="AM28" s="61">
        <v>6.6629916124836983</v>
      </c>
      <c r="AN28" s="61">
        <v>4.6091236728327463</v>
      </c>
      <c r="AO28" s="581">
        <v>11.272115285316445</v>
      </c>
      <c r="AP28" s="114">
        <v>-2.6649986077786849</v>
      </c>
      <c r="AQ28" s="114">
        <v>-4.3989046535659497</v>
      </c>
      <c r="AR28" s="114">
        <v>-1.592241773590132</v>
      </c>
      <c r="AS28" s="30">
        <v>-6.1452809109265445</v>
      </c>
      <c r="AT28" s="30">
        <v>-17.487680876143088</v>
      </c>
      <c r="AU28" s="580">
        <v>1.2182560245888965</v>
      </c>
      <c r="AV28" s="585">
        <v>-7.1555087612435102</v>
      </c>
      <c r="AW28" s="585">
        <v>-23.13434836925579</v>
      </c>
      <c r="AX28" s="586">
        <v>2.2873385258183561</v>
      </c>
      <c r="AY28" s="283">
        <v>0</v>
      </c>
      <c r="AZ28" s="283">
        <v>0</v>
      </c>
      <c r="BA28" s="283">
        <v>0</v>
      </c>
      <c r="BB28" s="284">
        <v>-3.75</v>
      </c>
      <c r="BC28" s="284">
        <v>-14.109126984126988</v>
      </c>
      <c r="BD28" s="284">
        <v>2.8095238095238102</v>
      </c>
      <c r="BE28" s="285">
        <v>-5.625</v>
      </c>
      <c r="BF28" s="285">
        <v>-20.773809523809518</v>
      </c>
      <c r="BG28" s="285">
        <v>3.2738095238095184</v>
      </c>
      <c r="BH28" s="25">
        <v>91.141499171730572</v>
      </c>
      <c r="BI28" s="25">
        <v>4.2493771554366715</v>
      </c>
      <c r="BJ28" s="25">
        <v>4.6091236728327463</v>
      </c>
      <c r="BK28" s="24">
        <v>8.8585008282694169</v>
      </c>
      <c r="BL28" s="216" t="s">
        <v>92</v>
      </c>
      <c r="BN28" s="582">
        <v>0.48130400499999998</v>
      </c>
      <c r="BO28" s="582">
        <v>2.4019976340000002</v>
      </c>
      <c r="BP28" s="582">
        <v>4.2289247330000004</v>
      </c>
      <c r="BQ28" s="582">
        <v>3.234510899</v>
      </c>
      <c r="BR28" s="582">
        <v>1.3524288769999999</v>
      </c>
      <c r="BS28" s="26">
        <v>0.42361792100000001</v>
      </c>
      <c r="BT28" s="77">
        <v>8.7400396980000004</v>
      </c>
      <c r="BU28" s="77">
        <v>16.534894080000001</v>
      </c>
      <c r="BV28" s="77">
        <v>10.666283460000001</v>
      </c>
      <c r="BW28" s="68">
        <v>1.5187453339999999</v>
      </c>
      <c r="BX28" s="582">
        <v>0.48130400499999998</v>
      </c>
      <c r="BY28" s="582">
        <v>2.4019976340000002</v>
      </c>
      <c r="BZ28" s="582">
        <v>4.2289247330000004</v>
      </c>
      <c r="CA28" s="582">
        <v>3.234510899</v>
      </c>
      <c r="CB28" s="582">
        <v>1.3524288769999999</v>
      </c>
    </row>
    <row r="29" spans="1:96" ht="15" customHeight="1" x14ac:dyDescent="0.3">
      <c r="A29" s="207" t="s">
        <v>181</v>
      </c>
      <c r="B29" s="295" t="s">
        <v>182</v>
      </c>
      <c r="C29" s="146" t="s">
        <v>257</v>
      </c>
      <c r="D29" s="295" t="s">
        <v>258</v>
      </c>
      <c r="E29" s="291" t="s">
        <v>186</v>
      </c>
      <c r="F29" s="291" t="s">
        <v>877</v>
      </c>
      <c r="G29" s="281" t="s">
        <v>185</v>
      </c>
      <c r="H29" s="279"/>
      <c r="I29" s="128" t="s">
        <v>227</v>
      </c>
      <c r="J29" s="154" t="s">
        <v>227</v>
      </c>
      <c r="K29" s="199" t="s">
        <v>227</v>
      </c>
      <c r="L29" s="199"/>
      <c r="M29" s="462" t="s">
        <v>227</v>
      </c>
      <c r="N29" s="199"/>
      <c r="O29" s="199"/>
      <c r="P29" s="199">
        <v>40</v>
      </c>
      <c r="Q29" s="199">
        <v>8</v>
      </c>
      <c r="R29" s="199"/>
      <c r="S29" s="126">
        <v>18</v>
      </c>
      <c r="T29" s="114">
        <v>-13.700010407432174</v>
      </c>
      <c r="U29" s="114">
        <v>-19.380902996839311</v>
      </c>
      <c r="V29" s="114">
        <v>-8.9796668187269404</v>
      </c>
      <c r="W29" s="115">
        <v>-20.589550018414741</v>
      </c>
      <c r="X29" s="115">
        <v>-54.730938902419474</v>
      </c>
      <c r="Y29" s="115">
        <v>-8.2789657309489399</v>
      </c>
      <c r="Z29" s="290">
        <v>-33.279464133066952</v>
      </c>
      <c r="AA29" s="290">
        <v>-67.19544715255725</v>
      </c>
      <c r="AB29" s="290">
        <v>-15.990437324458654</v>
      </c>
      <c r="AC29" s="283">
        <v>0</v>
      </c>
      <c r="AD29" s="283">
        <v>0</v>
      </c>
      <c r="AE29" s="283">
        <v>0</v>
      </c>
      <c r="AF29" s="284">
        <v>-8.6666666666666714</v>
      </c>
      <c r="AG29" s="284">
        <v>-45.024877007333153</v>
      </c>
      <c r="AH29" s="284">
        <v>0.64299637983847902</v>
      </c>
      <c r="AI29" s="285">
        <v>-24.444444444444443</v>
      </c>
      <c r="AJ29" s="285">
        <v>-60.759933603070849</v>
      </c>
      <c r="AK29" s="285">
        <v>-8.2700487602448334</v>
      </c>
      <c r="AL29" s="61">
        <v>73.870577466567255</v>
      </c>
      <c r="AM29" s="61">
        <v>4.7942265448038386</v>
      </c>
      <c r="AN29" s="61">
        <v>21.335195988628918</v>
      </c>
      <c r="AO29" s="581">
        <v>26.129422533432756</v>
      </c>
      <c r="AP29" s="114">
        <v>-13.077182185236964</v>
      </c>
      <c r="AQ29" s="114">
        <v>-18.384519072216364</v>
      </c>
      <c r="AR29" s="114">
        <v>-8.6678996304058842</v>
      </c>
      <c r="AS29" s="30">
        <v>-20.035677777962576</v>
      </c>
      <c r="AT29" s="30">
        <v>-54.364246999353568</v>
      </c>
      <c r="AU29" s="580">
        <v>-7.9653026381808729</v>
      </c>
      <c r="AV29" s="585">
        <v>-32.856830696577362</v>
      </c>
      <c r="AW29" s="585">
        <v>-66.934024622452839</v>
      </c>
      <c r="AX29" s="586">
        <v>-15.698234768167339</v>
      </c>
      <c r="AY29" s="283">
        <v>0</v>
      </c>
      <c r="AZ29" s="283">
        <v>0</v>
      </c>
      <c r="BA29" s="283">
        <v>0</v>
      </c>
      <c r="BB29" s="284">
        <v>-8.6666666666666714</v>
      </c>
      <c r="BC29" s="284">
        <v>-45.024877007333153</v>
      </c>
      <c r="BD29" s="284">
        <v>0.64299637983847902</v>
      </c>
      <c r="BE29" s="285">
        <v>-24.444444444444443</v>
      </c>
      <c r="BF29" s="285">
        <v>-60.759933603070849</v>
      </c>
      <c r="BG29" s="285">
        <v>-8.2700487602448334</v>
      </c>
      <c r="BH29" s="25">
        <v>75.872525323623293</v>
      </c>
      <c r="BI29" s="25">
        <v>2.7922786877477939</v>
      </c>
      <c r="BJ29" s="25">
        <v>21.335195988628914</v>
      </c>
      <c r="BK29" s="24">
        <v>24.127474676376707</v>
      </c>
      <c r="BL29" s="216" t="s">
        <v>1097</v>
      </c>
      <c r="BN29" s="8">
        <v>8.7797020000000003E-3</v>
      </c>
      <c r="BO29" s="8">
        <v>2.0017720919999999</v>
      </c>
      <c r="BP29" s="8">
        <v>2.7920335340000002</v>
      </c>
      <c r="BQ29" s="8">
        <v>6.5004814619999998</v>
      </c>
      <c r="BR29" s="8">
        <v>14.83284136</v>
      </c>
      <c r="BS29" s="26">
        <v>0.29494253199999998</v>
      </c>
      <c r="BT29" s="77">
        <v>7.9232185020000001</v>
      </c>
      <c r="BU29" s="77">
        <v>17.36343248</v>
      </c>
      <c r="BV29" s="77">
        <v>16.00642599</v>
      </c>
      <c r="BW29" s="68">
        <v>10.97476487</v>
      </c>
      <c r="BX29" s="582">
        <v>0.36560517300000001</v>
      </c>
      <c r="BY29" s="582">
        <v>4.4988211710000003</v>
      </c>
      <c r="BZ29" s="582">
        <v>6.090091857</v>
      </c>
      <c r="CA29" s="582">
        <v>7.2969027090000003</v>
      </c>
      <c r="CB29" s="582">
        <v>13.849925839999999</v>
      </c>
    </row>
    <row r="30" spans="1:96" ht="15.6" customHeight="1" x14ac:dyDescent="0.3">
      <c r="A30" s="207" t="s">
        <v>181</v>
      </c>
      <c r="B30" s="295" t="s">
        <v>182</v>
      </c>
      <c r="C30" s="146" t="s">
        <v>259</v>
      </c>
      <c r="D30" s="146" t="s">
        <v>1283</v>
      </c>
      <c r="E30" s="291" t="s">
        <v>704</v>
      </c>
      <c r="F30" s="291" t="s">
        <v>880</v>
      </c>
      <c r="G30" s="128" t="s">
        <v>185</v>
      </c>
      <c r="H30" s="279"/>
      <c r="J30" s="129" t="s">
        <v>188</v>
      </c>
      <c r="K30" s="135" t="s">
        <v>188</v>
      </c>
      <c r="L30" s="135"/>
      <c r="M30" s="461"/>
      <c r="N30" s="135"/>
      <c r="O30" s="135"/>
      <c r="P30" s="135"/>
      <c r="Q30" s="135"/>
      <c r="R30" s="135"/>
      <c r="S30" s="126">
        <v>31</v>
      </c>
      <c r="T30" s="114">
        <v>-15.742102860253581</v>
      </c>
      <c r="U30" s="114">
        <v>-25.977019278164093</v>
      </c>
      <c r="V30" s="114">
        <v>-9.4055319825230583</v>
      </c>
      <c r="W30" s="115">
        <v>-17.894100627562068</v>
      </c>
      <c r="X30" s="115">
        <v>-34.064702251624837</v>
      </c>
      <c r="Y30" s="115">
        <v>-6.5899198841470792</v>
      </c>
      <c r="Z30" s="290">
        <v>-14.666079148628583</v>
      </c>
      <c r="AA30" s="290">
        <v>-34.718222723978812</v>
      </c>
      <c r="AB30" s="290">
        <v>-2.5600104422853605</v>
      </c>
      <c r="AC30" s="283">
        <v>0</v>
      </c>
      <c r="AD30" s="283">
        <v>0</v>
      </c>
      <c r="AE30" s="283">
        <v>0</v>
      </c>
      <c r="AF30" s="284">
        <v>-3.75</v>
      </c>
      <c r="AG30" s="284">
        <v>-14.109126984126988</v>
      </c>
      <c r="AH30" s="284">
        <v>2.8095238095238102</v>
      </c>
      <c r="AI30" s="285">
        <v>-5.625</v>
      </c>
      <c r="AJ30" s="285">
        <v>-20.773809523809518</v>
      </c>
      <c r="AK30" s="285">
        <v>3.2738095238095184</v>
      </c>
      <c r="AL30" s="61">
        <v>47.577542033135899</v>
      </c>
      <c r="AM30" s="61">
        <v>25.361452692723901</v>
      </c>
      <c r="AN30" s="61">
        <v>27.061005274140197</v>
      </c>
      <c r="AO30" s="581">
        <v>52.422457966864101</v>
      </c>
      <c r="AP30" s="114">
        <v>-8.953103310942879</v>
      </c>
      <c r="AQ30" s="114">
        <v>-13.171311492687636</v>
      </c>
      <c r="AR30" s="114">
        <v>-5.5415040417690022</v>
      </c>
      <c r="AS30" s="30">
        <v>-16.061664689348291</v>
      </c>
      <c r="AT30" s="30">
        <v>-51.222182988746518</v>
      </c>
      <c r="AU30" s="580">
        <v>-4.3159996193320751</v>
      </c>
      <c r="AV30" s="585">
        <v>-28.919640567726233</v>
      </c>
      <c r="AW30" s="585">
        <v>-65.228396132599357</v>
      </c>
      <c r="AX30" s="586">
        <v>-14.257645626508065</v>
      </c>
      <c r="AY30" s="283">
        <v>0</v>
      </c>
      <c r="AZ30" s="283">
        <v>0</v>
      </c>
      <c r="BA30" s="283">
        <v>0</v>
      </c>
      <c r="BB30" s="284">
        <v>-3.75</v>
      </c>
      <c r="BC30" s="284">
        <v>-14.109126984126988</v>
      </c>
      <c r="BD30" s="284">
        <v>2.8095238095238102</v>
      </c>
      <c r="BE30" s="285">
        <v>-5.625</v>
      </c>
      <c r="BF30" s="285">
        <v>-20.773809523809518</v>
      </c>
      <c r="BG30" s="285">
        <v>3.2738095238095184</v>
      </c>
      <c r="BH30" s="25">
        <v>25.446901773156718</v>
      </c>
      <c r="BI30" s="25">
        <v>30.749859285972757</v>
      </c>
      <c r="BJ30" s="25">
        <v>43.803238940870521</v>
      </c>
      <c r="BK30" s="24">
        <v>74.553098226843275</v>
      </c>
      <c r="BL30" s="216" t="s">
        <v>1097</v>
      </c>
      <c r="BM30" s="41"/>
      <c r="BN30" s="148">
        <v>0.32454827400000003</v>
      </c>
      <c r="BO30" s="148">
        <v>11.30448962</v>
      </c>
      <c r="BP30" s="148">
        <v>9.7514288770000004</v>
      </c>
      <c r="BQ30" s="148">
        <v>8.2257896759999998</v>
      </c>
      <c r="BR30" s="148">
        <v>2.067883074</v>
      </c>
      <c r="BS30" s="77">
        <v>0.32454827400000003</v>
      </c>
      <c r="BT30" s="77">
        <v>11.30448962</v>
      </c>
      <c r="BU30" s="77">
        <v>9.7514288770000004</v>
      </c>
      <c r="BV30" s="77">
        <v>8.2257896759999998</v>
      </c>
      <c r="BW30" s="68">
        <v>2.067883074</v>
      </c>
      <c r="BX30" s="582">
        <v>1.910873198</v>
      </c>
      <c r="BY30" s="582">
        <v>6.0042532289999997</v>
      </c>
      <c r="BZ30" s="582">
        <v>10.12958018</v>
      </c>
      <c r="CA30" s="582">
        <v>9.5127068959999992</v>
      </c>
      <c r="CB30" s="582">
        <v>6.216114589</v>
      </c>
    </row>
    <row r="31" spans="1:96" ht="15" customHeight="1" x14ac:dyDescent="0.3">
      <c r="A31" s="207" t="s">
        <v>181</v>
      </c>
      <c r="B31" s="295" t="s">
        <v>182</v>
      </c>
      <c r="C31" s="146" t="s">
        <v>260</v>
      </c>
      <c r="D31" s="295" t="s">
        <v>261</v>
      </c>
      <c r="E31" s="291" t="s">
        <v>186</v>
      </c>
      <c r="F31" s="291" t="s">
        <v>877</v>
      </c>
      <c r="G31" s="281" t="s">
        <v>185</v>
      </c>
      <c r="H31" s="279"/>
      <c r="I31" s="128" t="s">
        <v>227</v>
      </c>
      <c r="J31" s="154" t="s">
        <v>201</v>
      </c>
      <c r="K31" s="199" t="s">
        <v>227</v>
      </c>
      <c r="L31" s="199"/>
      <c r="M31" s="462" t="s">
        <v>227</v>
      </c>
      <c r="N31" s="199"/>
      <c r="O31" s="199"/>
      <c r="P31" s="199">
        <v>550</v>
      </c>
      <c r="Q31" s="199">
        <v>300</v>
      </c>
      <c r="R31" s="199"/>
      <c r="S31" s="126">
        <v>19</v>
      </c>
      <c r="T31" s="114">
        <v>-12.481507010471674</v>
      </c>
      <c r="U31" s="114">
        <v>-18.941971738232183</v>
      </c>
      <c r="V31" s="114">
        <v>-7.3077061203880049</v>
      </c>
      <c r="W31" s="115">
        <v>-18.821380440051158</v>
      </c>
      <c r="X31" s="115">
        <v>-53.243534383912518</v>
      </c>
      <c r="Y31" s="115">
        <v>-5.8409134100272126</v>
      </c>
      <c r="Z31" s="290">
        <v>-31.250907297772045</v>
      </c>
      <c r="AA31" s="290">
        <v>-66.624555873115838</v>
      </c>
      <c r="AB31" s="290">
        <v>-15.892832715150234</v>
      </c>
      <c r="AC31" s="283">
        <v>0</v>
      </c>
      <c r="AD31" s="283">
        <v>0</v>
      </c>
      <c r="AE31" s="283">
        <v>0</v>
      </c>
      <c r="AF31" s="284">
        <v>-8.6666666666666714</v>
      </c>
      <c r="AG31" s="284">
        <v>-45.518704167826982</v>
      </c>
      <c r="AH31" s="284">
        <v>0.64299637983847902</v>
      </c>
      <c r="AI31" s="285">
        <v>-22.777777777777771</v>
      </c>
      <c r="AJ31" s="285">
        <v>-61.261022927689588</v>
      </c>
      <c r="AK31" s="285">
        <v>-9.2504409171075821</v>
      </c>
      <c r="AL31" s="61">
        <v>68.548332910316205</v>
      </c>
      <c r="AM31" s="61">
        <v>21.124477624521901</v>
      </c>
      <c r="AN31" s="61">
        <v>10.32718946516189</v>
      </c>
      <c r="AO31" s="581">
        <v>31.451667089683792</v>
      </c>
      <c r="AP31" s="114">
        <v>-13.904438527954738</v>
      </c>
      <c r="AQ31" s="114">
        <v>-23.083139667584319</v>
      </c>
      <c r="AR31" s="114">
        <v>-8.3040092610176544</v>
      </c>
      <c r="AS31" s="30">
        <v>-16.334569275286839</v>
      </c>
      <c r="AT31" s="30">
        <v>-31.763640624377359</v>
      </c>
      <c r="AU31" s="580">
        <v>-5.4955202161516894</v>
      </c>
      <c r="AV31" s="585">
        <v>-13.603213832109802</v>
      </c>
      <c r="AW31" s="585">
        <v>-33.076071370834882</v>
      </c>
      <c r="AX31" s="586">
        <v>-1.7497352810941322</v>
      </c>
      <c r="AY31" s="283">
        <v>0</v>
      </c>
      <c r="AZ31" s="283">
        <v>0</v>
      </c>
      <c r="BA31" s="283">
        <v>0</v>
      </c>
      <c r="BB31" s="284">
        <v>-8.6666666666666714</v>
      </c>
      <c r="BC31" s="284">
        <v>-45.518704167826982</v>
      </c>
      <c r="BD31" s="284">
        <v>0.64299637983847902</v>
      </c>
      <c r="BE31" s="285">
        <v>-22.777777777777771</v>
      </c>
      <c r="BF31" s="285">
        <v>-61.261022927689588</v>
      </c>
      <c r="BG31" s="285">
        <v>-9.2504409171075821</v>
      </c>
      <c r="BH31" s="25">
        <v>79.889630515944475</v>
      </c>
      <c r="BI31" s="25">
        <v>9.7831800188936313</v>
      </c>
      <c r="BJ31" s="25">
        <v>10.327189465161892</v>
      </c>
      <c r="BK31" s="24">
        <v>20.110369484055525</v>
      </c>
      <c r="BL31" s="216" t="s">
        <v>1097</v>
      </c>
      <c r="BM31" s="41"/>
      <c r="BN31" s="148">
        <v>0.29494253199999998</v>
      </c>
      <c r="BO31" s="148">
        <v>7.9232185020000001</v>
      </c>
      <c r="BP31" s="148">
        <v>17.36343248</v>
      </c>
      <c r="BQ31" s="148">
        <v>16.00642599</v>
      </c>
      <c r="BR31" s="148">
        <v>10.97476487</v>
      </c>
      <c r="BS31" s="77" t="s">
        <v>220</v>
      </c>
      <c r="BT31" s="77" t="s">
        <v>220</v>
      </c>
      <c r="BU31" s="77" t="s">
        <v>220</v>
      </c>
      <c r="BV31" s="77" t="s">
        <v>220</v>
      </c>
      <c r="BW31" s="68" t="s">
        <v>220</v>
      </c>
      <c r="BX31" s="582">
        <v>0.83712442200000003</v>
      </c>
      <c r="BY31" s="582">
        <v>8.21385349</v>
      </c>
      <c r="BZ31" s="582">
        <v>10.10975633</v>
      </c>
      <c r="CA31" s="582">
        <v>10.313291449999999</v>
      </c>
      <c r="CB31" s="582">
        <v>4.6236482289999996</v>
      </c>
    </row>
    <row r="32" spans="1:96" ht="15.6" customHeight="1" x14ac:dyDescent="0.3">
      <c r="A32" s="207" t="s">
        <v>181</v>
      </c>
      <c r="B32" s="295" t="s">
        <v>182</v>
      </c>
      <c r="C32" s="146" t="s">
        <v>262</v>
      </c>
      <c r="D32" s="295" t="s">
        <v>263</v>
      </c>
      <c r="E32" s="291" t="s">
        <v>186</v>
      </c>
      <c r="F32" s="291" t="s">
        <v>877</v>
      </c>
      <c r="G32" s="281" t="s">
        <v>185</v>
      </c>
      <c r="H32" s="279"/>
      <c r="I32" s="128" t="s">
        <v>227</v>
      </c>
      <c r="J32" s="154" t="s">
        <v>227</v>
      </c>
      <c r="K32" s="199" t="s">
        <v>227</v>
      </c>
      <c r="L32" s="199"/>
      <c r="M32" s="462" t="s">
        <v>227</v>
      </c>
      <c r="N32" s="199"/>
      <c r="O32" s="199"/>
      <c r="P32" s="199">
        <v>12</v>
      </c>
      <c r="Q32" s="199">
        <v>4</v>
      </c>
      <c r="R32" s="199"/>
      <c r="S32" s="126">
        <v>20</v>
      </c>
      <c r="T32" s="114">
        <v>0</v>
      </c>
      <c r="U32" s="114">
        <v>0</v>
      </c>
      <c r="V32" s="114">
        <v>0</v>
      </c>
      <c r="W32" s="115">
        <v>-5.125</v>
      </c>
      <c r="X32" s="115">
        <v>-21.281512605042025</v>
      </c>
      <c r="Y32" s="115">
        <v>1.7717086834733919</v>
      </c>
      <c r="Z32" s="290">
        <v>-20.625</v>
      </c>
      <c r="AA32" s="290">
        <v>-51.668417366946777</v>
      </c>
      <c r="AB32" s="290">
        <v>-3.3274976657329631</v>
      </c>
      <c r="AC32" s="283">
        <v>0</v>
      </c>
      <c r="AD32" s="283">
        <v>0</v>
      </c>
      <c r="AE32" s="283">
        <v>0</v>
      </c>
      <c r="AF32" s="284">
        <v>-5.125</v>
      </c>
      <c r="AG32" s="284">
        <v>-21.281512605042025</v>
      </c>
      <c r="AH32" s="284">
        <v>1.7717086834733919</v>
      </c>
      <c r="AI32" s="285">
        <v>-20.625</v>
      </c>
      <c r="AJ32" s="285">
        <v>-51.668417366946777</v>
      </c>
      <c r="AK32" s="285">
        <v>-3.3274976657329631</v>
      </c>
      <c r="AL32" s="61">
        <v>100</v>
      </c>
      <c r="AM32" s="61">
        <v>0</v>
      </c>
      <c r="AN32" s="61">
        <v>0</v>
      </c>
      <c r="AO32" s="581">
        <v>0</v>
      </c>
      <c r="AP32" s="114">
        <v>0</v>
      </c>
      <c r="AQ32" s="114">
        <v>0</v>
      </c>
      <c r="AR32" s="114">
        <v>0</v>
      </c>
      <c r="AS32" s="30">
        <v>-5.125</v>
      </c>
      <c r="AT32" s="30">
        <v>-21.281512605042025</v>
      </c>
      <c r="AU32" s="580">
        <v>1.7717086834733919</v>
      </c>
      <c r="AV32" s="585">
        <v>-20.625</v>
      </c>
      <c r="AW32" s="585">
        <v>-51.668417366946777</v>
      </c>
      <c r="AX32" s="586">
        <v>-3.3274976657329631</v>
      </c>
      <c r="AY32" s="283">
        <v>0</v>
      </c>
      <c r="AZ32" s="283">
        <v>0</v>
      </c>
      <c r="BA32" s="283">
        <v>0</v>
      </c>
      <c r="BB32" s="284">
        <v>-5.125</v>
      </c>
      <c r="BC32" s="284">
        <v>-21.281512605042025</v>
      </c>
      <c r="BD32" s="284">
        <v>1.7717086834733919</v>
      </c>
      <c r="BE32" s="285">
        <v>-20.625</v>
      </c>
      <c r="BF32" s="285">
        <v>-51.668417366946777</v>
      </c>
      <c r="BG32" s="285">
        <v>-3.3274976657329631</v>
      </c>
      <c r="BH32" s="25">
        <v>100</v>
      </c>
      <c r="BI32" s="25">
        <v>0</v>
      </c>
      <c r="BJ32" s="25">
        <v>0</v>
      </c>
      <c r="BK32" s="24">
        <v>0</v>
      </c>
      <c r="BL32" s="216" t="s">
        <v>92</v>
      </c>
      <c r="BN32" s="582">
        <v>0</v>
      </c>
      <c r="BO32" s="582">
        <v>0</v>
      </c>
      <c r="BP32" s="582">
        <v>0</v>
      </c>
      <c r="BQ32" s="582">
        <v>0</v>
      </c>
      <c r="BR32" s="582">
        <v>0</v>
      </c>
      <c r="BS32" s="26">
        <v>0.20657988199999999</v>
      </c>
      <c r="BT32" s="77">
        <v>5.7866151090000004</v>
      </c>
      <c r="BU32" s="77">
        <v>10.47533483</v>
      </c>
      <c r="BV32" s="77">
        <v>6.8496762630000001</v>
      </c>
      <c r="BW32" s="68">
        <v>1.0126680800000001</v>
      </c>
      <c r="BX32" s="582">
        <v>0</v>
      </c>
      <c r="BY32" s="582">
        <v>0</v>
      </c>
      <c r="BZ32" s="582">
        <v>0</v>
      </c>
      <c r="CA32" s="582">
        <v>0</v>
      </c>
      <c r="CB32" s="582">
        <v>0</v>
      </c>
    </row>
    <row r="33" spans="1:80" ht="15" customHeight="1" x14ac:dyDescent="0.3">
      <c r="A33" s="207" t="s">
        <v>181</v>
      </c>
      <c r="B33" s="295" t="s">
        <v>182</v>
      </c>
      <c r="C33" s="146" t="s">
        <v>264</v>
      </c>
      <c r="D33" s="146" t="s">
        <v>265</v>
      </c>
      <c r="E33" s="291" t="s">
        <v>704</v>
      </c>
      <c r="F33" s="291" t="s">
        <v>989</v>
      </c>
      <c r="G33" s="128" t="s">
        <v>185</v>
      </c>
      <c r="H33" s="279"/>
      <c r="J33" s="129" t="s">
        <v>266</v>
      </c>
      <c r="K33" s="135" t="s">
        <v>267</v>
      </c>
      <c r="L33" s="135"/>
      <c r="M33" s="461"/>
      <c r="N33" s="135"/>
      <c r="O33" s="135"/>
      <c r="P33" s="135">
        <v>5928</v>
      </c>
      <c r="Q33" s="135">
        <v>128</v>
      </c>
      <c r="R33" s="135"/>
      <c r="S33" s="126">
        <v>21</v>
      </c>
      <c r="T33" s="114">
        <v>-5.708638582735631</v>
      </c>
      <c r="U33" s="114">
        <v>-9.9662376683652241</v>
      </c>
      <c r="V33" s="114">
        <v>-2.8378946246522645</v>
      </c>
      <c r="W33" s="115">
        <v>-7.907427447692271</v>
      </c>
      <c r="X33" s="115">
        <v>-18.259448229027385</v>
      </c>
      <c r="Y33" s="115">
        <v>-0.50030723856424686</v>
      </c>
      <c r="Z33" s="290">
        <v>-13.957239141150197</v>
      </c>
      <c r="AA33" s="290">
        <v>-34.67283033179703</v>
      </c>
      <c r="AB33" s="290">
        <v>1.2282551384751343</v>
      </c>
      <c r="AC33" s="283">
        <v>0</v>
      </c>
      <c r="AD33" s="283">
        <v>0</v>
      </c>
      <c r="AE33" s="283">
        <v>0</v>
      </c>
      <c r="AF33" s="284">
        <v>-3.375</v>
      </c>
      <c r="AG33" s="284">
        <v>-11.500816993464056</v>
      </c>
      <c r="AH33" s="284">
        <v>2.1078431372549034</v>
      </c>
      <c r="AI33" s="285">
        <v>-11</v>
      </c>
      <c r="AJ33" s="285">
        <v>-31.10294117647058</v>
      </c>
      <c r="AK33" s="285">
        <v>3.014705882352942</v>
      </c>
      <c r="AL33" s="61">
        <v>75.714193827717025</v>
      </c>
      <c r="AM33" s="61">
        <v>15.95082044321942</v>
      </c>
      <c r="AN33" s="61">
        <v>8.3349857290635612</v>
      </c>
      <c r="AO33" s="581">
        <v>24.285806172282982</v>
      </c>
      <c r="AP33" s="114">
        <v>-4.8453103836629623</v>
      </c>
      <c r="AQ33" s="114">
        <v>-8.3868952089505058</v>
      </c>
      <c r="AR33" s="114">
        <v>-2.4206193284338013</v>
      </c>
      <c r="AS33" s="30">
        <v>-7.2660979283811287</v>
      </c>
      <c r="AT33" s="30">
        <v>-17.270570667671279</v>
      </c>
      <c r="AU33" s="580">
        <v>-9.0125582076723276E-2</v>
      </c>
      <c r="AV33" s="585">
        <v>-13.445408851699952</v>
      </c>
      <c r="AW33" s="585">
        <v>-34.062817619707147</v>
      </c>
      <c r="AX33" s="586">
        <v>1.5299363508961932</v>
      </c>
      <c r="AY33" s="283">
        <v>0</v>
      </c>
      <c r="AZ33" s="283">
        <v>0</v>
      </c>
      <c r="BA33" s="283">
        <v>0</v>
      </c>
      <c r="BB33" s="284">
        <v>-3.375</v>
      </c>
      <c r="BC33" s="284">
        <v>-11.500816993464056</v>
      </c>
      <c r="BD33" s="284">
        <v>2.1078431372549034</v>
      </c>
      <c r="BE33" s="285">
        <v>-11</v>
      </c>
      <c r="BF33" s="285">
        <v>-31.10294117647058</v>
      </c>
      <c r="BG33" s="285">
        <v>3.014705882352942</v>
      </c>
      <c r="BH33" s="25">
        <v>80.647497822418075</v>
      </c>
      <c r="BI33" s="25">
        <v>11.01751644851837</v>
      </c>
      <c r="BJ33" s="25">
        <v>8.3349857290635612</v>
      </c>
      <c r="BK33" s="24">
        <v>19.352502177581933</v>
      </c>
      <c r="BL33" s="216" t="s">
        <v>1097</v>
      </c>
      <c r="BN33" s="8">
        <v>1.3796017389999999</v>
      </c>
      <c r="BO33" s="8">
        <v>4.865244047</v>
      </c>
      <c r="BP33" s="8">
        <v>10.8655186</v>
      </c>
      <c r="BQ33" s="8">
        <v>6.1176906769999997</v>
      </c>
      <c r="BR33" s="8">
        <v>2.1023054440000002</v>
      </c>
      <c r="BS33" s="26">
        <v>2.2836511160000001</v>
      </c>
      <c r="BT33" s="77">
        <v>7.4419333270000001</v>
      </c>
      <c r="BU33" s="77">
        <v>18.671956999999999</v>
      </c>
      <c r="BV33" s="77">
        <v>15.587159209999999</v>
      </c>
      <c r="BW33" s="68">
        <v>7.8647068200000003</v>
      </c>
      <c r="BX33" s="582">
        <v>0.84066792899999998</v>
      </c>
      <c r="BY33" s="582">
        <v>4.6907562770000002</v>
      </c>
      <c r="BZ33" s="582">
        <v>14.10303399</v>
      </c>
      <c r="CA33" s="582">
        <v>11.050158619999999</v>
      </c>
      <c r="CB33" s="582">
        <v>6.3409302370000002</v>
      </c>
    </row>
    <row r="34" spans="1:80" ht="15" customHeight="1" x14ac:dyDescent="0.3">
      <c r="A34" s="207" t="s">
        <v>181</v>
      </c>
      <c r="B34" s="146" t="s">
        <v>197</v>
      </c>
      <c r="C34" s="146" t="s">
        <v>268</v>
      </c>
      <c r="D34" s="146" t="s">
        <v>269</v>
      </c>
      <c r="E34" s="280" t="s">
        <v>704</v>
      </c>
      <c r="F34" s="280" t="s">
        <v>993</v>
      </c>
      <c r="G34" s="128" t="s">
        <v>185</v>
      </c>
      <c r="H34" s="279"/>
      <c r="J34" s="129" t="s">
        <v>267</v>
      </c>
      <c r="K34" s="135" t="s">
        <v>188</v>
      </c>
      <c r="L34" s="407" t="s">
        <v>973</v>
      </c>
      <c r="M34" s="461"/>
      <c r="N34" s="135"/>
      <c r="O34" s="135"/>
      <c r="P34" s="135"/>
      <c r="Q34" s="135"/>
      <c r="R34" s="135"/>
      <c r="S34" s="126"/>
      <c r="AL34" s="61">
        <v>72.919284334438473</v>
      </c>
      <c r="AM34" s="61">
        <v>18.411481988423567</v>
      </c>
      <c r="AN34" s="61">
        <v>8.6692336771379708</v>
      </c>
      <c r="AO34" s="62">
        <v>27.080715665561538</v>
      </c>
      <c r="AU34" s="41"/>
      <c r="AV34" s="41"/>
      <c r="AW34" s="41"/>
      <c r="AX34" s="41"/>
      <c r="BH34" s="25">
        <v>79.48734705796717</v>
      </c>
      <c r="BI34" s="25">
        <v>11.843419264894861</v>
      </c>
      <c r="BJ34" s="25">
        <v>8.6692336771379708</v>
      </c>
      <c r="BK34" s="24">
        <v>20.51265294203283</v>
      </c>
      <c r="BL34" s="216" t="s">
        <v>1097</v>
      </c>
      <c r="BN34" s="8">
        <v>0.26205105299999998</v>
      </c>
      <c r="BO34" s="8">
        <v>6.550851046</v>
      </c>
      <c r="BP34" s="8">
        <v>11.81238346</v>
      </c>
      <c r="BQ34" s="8">
        <v>7.4968110860000001</v>
      </c>
      <c r="BR34" s="8">
        <v>1.1497047730000001</v>
      </c>
      <c r="BS34" s="26">
        <v>0.148289438</v>
      </c>
      <c r="BT34" s="77">
        <v>10.55919967</v>
      </c>
      <c r="BU34" s="77">
        <v>9.6394827200000002</v>
      </c>
      <c r="BV34" s="77">
        <v>4.4723558219999999</v>
      </c>
      <c r="BW34" s="68">
        <v>0.61530822200000002</v>
      </c>
      <c r="BX34" s="582">
        <v>0.21877327499999999</v>
      </c>
      <c r="BY34" s="582">
        <v>4.6106116100000003</v>
      </c>
      <c r="BZ34" s="582">
        <v>8.5374696980000007</v>
      </c>
      <c r="CA34" s="582">
        <v>5.5265898880000002</v>
      </c>
      <c r="CB34" s="582">
        <v>0.82342154899999997</v>
      </c>
    </row>
    <row r="35" spans="1:80" ht="15" customHeight="1" x14ac:dyDescent="0.3">
      <c r="A35" s="207" t="s">
        <v>181</v>
      </c>
      <c r="B35" s="295" t="s">
        <v>182</v>
      </c>
      <c r="C35" s="146" t="s">
        <v>270</v>
      </c>
      <c r="D35" s="146" t="s">
        <v>271</v>
      </c>
      <c r="E35" s="280" t="s">
        <v>186</v>
      </c>
      <c r="F35" s="280" t="s">
        <v>992</v>
      </c>
      <c r="G35" s="128" t="s">
        <v>185</v>
      </c>
      <c r="H35" s="279" t="s">
        <v>272</v>
      </c>
      <c r="J35" s="129" t="s">
        <v>188</v>
      </c>
      <c r="K35" s="135" t="s">
        <v>188</v>
      </c>
      <c r="L35" s="135"/>
      <c r="M35" s="461"/>
      <c r="N35" s="135"/>
      <c r="O35" s="135"/>
      <c r="P35" s="135"/>
      <c r="Q35" s="135"/>
      <c r="R35" s="135"/>
      <c r="S35" s="126"/>
      <c r="T35" s="54"/>
      <c r="U35" s="54"/>
      <c r="V35" s="54"/>
      <c r="W35" s="54"/>
      <c r="X35" s="54"/>
      <c r="Y35" s="54"/>
      <c r="Z35" s="54"/>
      <c r="AA35" s="54"/>
      <c r="AB35" s="54"/>
      <c r="AC35" s="54"/>
      <c r="AD35" s="54"/>
      <c r="AE35" s="54"/>
      <c r="AF35" s="54"/>
      <c r="AG35" s="54"/>
      <c r="AH35" s="54"/>
      <c r="AI35" s="54"/>
      <c r="AJ35" s="54"/>
      <c r="AK35" s="54"/>
      <c r="AL35" s="61">
        <v>74.676100898342455</v>
      </c>
      <c r="AM35" s="61">
        <v>20.228679384974804</v>
      </c>
      <c r="AN35" s="61">
        <v>5.0952197166827347</v>
      </c>
      <c r="AO35" s="62">
        <v>25.323899101657538</v>
      </c>
      <c r="AP35" s="49"/>
      <c r="AQ35" s="49"/>
      <c r="AR35" s="49"/>
      <c r="AS35" s="49"/>
      <c r="AT35" s="49"/>
      <c r="AU35" s="49"/>
      <c r="AV35" s="49"/>
      <c r="AW35" s="49"/>
      <c r="AX35" s="49"/>
      <c r="AY35" s="49"/>
      <c r="AZ35" s="49"/>
      <c r="BA35" s="49"/>
      <c r="BB35" s="49"/>
      <c r="BC35" s="49"/>
      <c r="BD35" s="49"/>
      <c r="BE35" s="49"/>
      <c r="BF35" s="49"/>
      <c r="BG35" s="49"/>
      <c r="BH35" s="25">
        <v>85.250982000097423</v>
      </c>
      <c r="BI35" s="25">
        <v>9.6537982832198423</v>
      </c>
      <c r="BJ35" s="25">
        <v>5.0952197166827347</v>
      </c>
      <c r="BK35" s="24">
        <v>14.749017999902577</v>
      </c>
      <c r="BL35" s="216" t="s">
        <v>1097</v>
      </c>
      <c r="BN35" s="8">
        <v>0.148289438</v>
      </c>
      <c r="BO35" s="8">
        <v>10.55919967</v>
      </c>
      <c r="BP35" s="8">
        <v>9.6394827200000002</v>
      </c>
      <c r="BQ35" s="8">
        <v>4.4723558219999999</v>
      </c>
      <c r="BR35" s="8">
        <v>0.61530822200000002</v>
      </c>
      <c r="BS35" s="26" t="s">
        <v>220</v>
      </c>
      <c r="BT35" s="77" t="s">
        <v>220</v>
      </c>
      <c r="BU35" s="77" t="s">
        <v>220</v>
      </c>
      <c r="BV35" s="77" t="s">
        <v>220</v>
      </c>
      <c r="BW35" s="68" t="s">
        <v>220</v>
      </c>
      <c r="BX35" s="582">
        <v>0.16532656400000001</v>
      </c>
      <c r="BY35" s="582">
        <v>7.2729645930000002</v>
      </c>
      <c r="BZ35" s="582">
        <v>9.0403249829999996</v>
      </c>
      <c r="CA35" s="582">
        <v>4.9782963379999998</v>
      </c>
      <c r="CB35" s="582">
        <v>0.89968408899999996</v>
      </c>
    </row>
    <row r="36" spans="1:80" ht="15" customHeight="1" x14ac:dyDescent="0.3">
      <c r="A36" s="207" t="s">
        <v>181</v>
      </c>
      <c r="B36" s="295" t="s">
        <v>182</v>
      </c>
      <c r="C36" s="146" t="s">
        <v>273</v>
      </c>
      <c r="D36" s="146" t="s">
        <v>274</v>
      </c>
      <c r="E36" s="280" t="s">
        <v>186</v>
      </c>
      <c r="F36" s="280" t="s">
        <v>997</v>
      </c>
      <c r="G36" s="128" t="s">
        <v>215</v>
      </c>
      <c r="H36" s="279" t="s">
        <v>272</v>
      </c>
      <c r="J36" s="129" t="s">
        <v>192</v>
      </c>
      <c r="K36" s="135"/>
      <c r="L36" s="135"/>
      <c r="M36" s="461"/>
      <c r="N36" s="135"/>
      <c r="O36" s="135"/>
      <c r="P36" s="135"/>
      <c r="Q36" s="135"/>
      <c r="R36" s="135"/>
      <c r="S36" s="126"/>
      <c r="T36" s="54"/>
      <c r="U36" s="54"/>
      <c r="V36" s="54"/>
      <c r="W36" s="54"/>
      <c r="X36" s="54"/>
      <c r="Y36" s="54"/>
      <c r="Z36" s="54"/>
      <c r="AA36" s="54"/>
      <c r="AB36" s="54"/>
      <c r="AC36" s="54"/>
      <c r="AD36" s="54"/>
      <c r="AE36" s="54"/>
      <c r="AF36" s="54"/>
      <c r="AG36" s="54"/>
      <c r="AH36" s="54"/>
      <c r="AI36" s="54"/>
      <c r="AJ36" s="54"/>
      <c r="AK36" s="54"/>
      <c r="AL36" s="61">
        <v>95.774577833349127</v>
      </c>
      <c r="AM36" s="61">
        <v>3.8405347420425477</v>
      </c>
      <c r="AN36" s="61">
        <v>0.38488742460832343</v>
      </c>
      <c r="AO36" s="62">
        <v>4.2254221666508709</v>
      </c>
      <c r="AP36" s="49"/>
      <c r="AQ36" s="49"/>
      <c r="AR36" s="49"/>
      <c r="AS36" s="49"/>
      <c r="AT36" s="49"/>
      <c r="AU36" s="49"/>
      <c r="AV36" s="49"/>
      <c r="AW36" s="49"/>
      <c r="AX36" s="49"/>
      <c r="AY36" s="49"/>
      <c r="AZ36" s="49"/>
      <c r="BA36" s="49"/>
      <c r="BB36" s="49"/>
      <c r="BC36" s="49"/>
      <c r="BD36" s="49"/>
      <c r="BE36" s="49"/>
      <c r="BF36" s="49"/>
      <c r="BG36" s="49"/>
      <c r="BH36" s="25">
        <v>98.221961847933358</v>
      </c>
      <c r="BI36" s="25">
        <v>1.3931507274583255</v>
      </c>
      <c r="BJ36" s="25">
        <v>0.38488742460832343</v>
      </c>
      <c r="BK36" s="24">
        <v>1.7780381520666488</v>
      </c>
      <c r="BL36" s="216" t="s">
        <v>92</v>
      </c>
      <c r="BN36" s="582">
        <v>2.6824625000000001E-2</v>
      </c>
      <c r="BO36" s="582">
        <v>2.4467275129999999</v>
      </c>
      <c r="BP36" s="582">
        <v>1.39277702</v>
      </c>
      <c r="BQ36" s="582">
        <v>0.35963609400000002</v>
      </c>
      <c r="BR36" s="582">
        <v>2.5148086E-2</v>
      </c>
      <c r="BS36" s="26" t="s">
        <v>220</v>
      </c>
      <c r="BT36" s="77" t="s">
        <v>220</v>
      </c>
      <c r="BU36" s="77" t="s">
        <v>220</v>
      </c>
      <c r="BV36" s="77" t="s">
        <v>220</v>
      </c>
      <c r="BW36" s="68" t="s">
        <v>220</v>
      </c>
      <c r="BX36" s="582">
        <v>2.6824625000000001E-2</v>
      </c>
      <c r="BY36" s="582">
        <v>2.4467275129999999</v>
      </c>
      <c r="BZ36" s="582">
        <v>1.39277702</v>
      </c>
      <c r="CA36" s="582">
        <v>0.35963609400000002</v>
      </c>
      <c r="CB36" s="582">
        <v>2.5148086E-2</v>
      </c>
    </row>
    <row r="37" spans="1:80" ht="15" customHeight="1" x14ac:dyDescent="0.3">
      <c r="A37" s="207" t="s">
        <v>181</v>
      </c>
      <c r="B37" s="295" t="s">
        <v>182</v>
      </c>
      <c r="C37" s="146" t="s">
        <v>275</v>
      </c>
      <c r="D37" s="146" t="s">
        <v>276</v>
      </c>
      <c r="E37" s="280" t="s">
        <v>186</v>
      </c>
      <c r="F37" s="280" t="s">
        <v>992</v>
      </c>
      <c r="G37" s="128" t="s">
        <v>185</v>
      </c>
      <c r="H37" s="279" t="s">
        <v>277</v>
      </c>
      <c r="J37" s="129" t="s">
        <v>188</v>
      </c>
      <c r="K37" s="135" t="s">
        <v>188</v>
      </c>
      <c r="L37" s="135"/>
      <c r="M37" s="461"/>
      <c r="N37" s="135"/>
      <c r="O37" s="135"/>
      <c r="P37" s="135"/>
      <c r="Q37" s="135"/>
      <c r="R37" s="135"/>
      <c r="S37" s="126"/>
      <c r="AL37" s="61">
        <v>93.031681205362943</v>
      </c>
      <c r="AM37" s="61">
        <v>4.1519853367857085</v>
      </c>
      <c r="AN37" s="61">
        <v>2.8163334578513459</v>
      </c>
      <c r="AO37" s="62">
        <v>6.9683187946370548</v>
      </c>
      <c r="BH37" s="25">
        <v>94.532171051699748</v>
      </c>
      <c r="BI37" s="25">
        <v>2.6514954904489101</v>
      </c>
      <c r="BJ37" s="25">
        <v>2.8163334578513459</v>
      </c>
      <c r="BK37" s="24">
        <v>5.467828948300256</v>
      </c>
      <c r="BL37" s="216" t="s">
        <v>92</v>
      </c>
      <c r="BN37" s="582">
        <v>0.29277381299999999</v>
      </c>
      <c r="BO37" s="582">
        <v>1.4960968050000001</v>
      </c>
      <c r="BP37" s="582">
        <v>2.6437326059999999</v>
      </c>
      <c r="BQ37" s="582">
        <v>1.9846543080000001</v>
      </c>
      <c r="BR37" s="582">
        <v>0.82343366299999998</v>
      </c>
      <c r="BS37" s="26">
        <v>0.102973144</v>
      </c>
      <c r="BT37" s="77">
        <v>2.3013213619999999</v>
      </c>
      <c r="BU37" s="77">
        <v>3.8044929430000001</v>
      </c>
      <c r="BV37" s="77">
        <v>2.0669262559999999</v>
      </c>
      <c r="BW37" s="68">
        <v>0.61118506800000005</v>
      </c>
      <c r="BX37" s="582">
        <v>0.29277381299999999</v>
      </c>
      <c r="BY37" s="582">
        <v>1.4960968050000001</v>
      </c>
      <c r="BZ37" s="582">
        <v>2.6437326059999999</v>
      </c>
      <c r="CA37" s="582">
        <v>1.9846543080000001</v>
      </c>
      <c r="CB37" s="582">
        <v>0.82343366299999998</v>
      </c>
    </row>
    <row r="38" spans="1:80" ht="15" customHeight="1" x14ac:dyDescent="0.3">
      <c r="A38" s="207" t="s">
        <v>181</v>
      </c>
      <c r="B38" s="295" t="s">
        <v>182</v>
      </c>
      <c r="C38" s="146" t="s">
        <v>278</v>
      </c>
      <c r="D38" s="146" t="s">
        <v>279</v>
      </c>
      <c r="E38" s="280" t="s">
        <v>186</v>
      </c>
      <c r="F38" s="280" t="s">
        <v>992</v>
      </c>
      <c r="G38" s="128" t="s">
        <v>185</v>
      </c>
      <c r="H38" s="279"/>
      <c r="J38" s="129" t="s">
        <v>188</v>
      </c>
      <c r="K38" s="135" t="s">
        <v>188</v>
      </c>
      <c r="L38" s="135"/>
      <c r="M38" s="461"/>
      <c r="N38" s="135"/>
      <c r="O38" s="135"/>
      <c r="P38" s="135"/>
      <c r="Q38" s="135"/>
      <c r="R38" s="135"/>
      <c r="S38" s="126"/>
      <c r="AL38" s="61">
        <v>78.403439005560799</v>
      </c>
      <c r="AM38" s="61">
        <v>11.406571020153802</v>
      </c>
      <c r="AN38" s="61">
        <v>10.1899899742854</v>
      </c>
      <c r="AO38" s="62">
        <v>21.596560994439201</v>
      </c>
      <c r="BH38" s="25">
        <v>81.980919965244155</v>
      </c>
      <c r="BI38" s="25">
        <v>7.8290900604704508</v>
      </c>
      <c r="BJ38" s="25">
        <v>10.1899899742854</v>
      </c>
      <c r="BK38" s="24">
        <v>18.019080034755852</v>
      </c>
      <c r="BL38" s="216" t="s">
        <v>1097</v>
      </c>
      <c r="BN38" s="8">
        <v>0.29067754099999998</v>
      </c>
      <c r="BO38" s="8">
        <v>3.567082026</v>
      </c>
      <c r="BP38" s="8">
        <v>7.8063326540000002</v>
      </c>
      <c r="BQ38" s="8">
        <v>6.5425533199999997</v>
      </c>
      <c r="BR38" s="8">
        <v>3.6178166420000002</v>
      </c>
      <c r="BS38" s="26">
        <v>0.38787370599999998</v>
      </c>
      <c r="BT38" s="77">
        <v>10.420348730000001</v>
      </c>
      <c r="BU38" s="77">
        <v>22.212632920000001</v>
      </c>
      <c r="BV38" s="77">
        <v>18.995473950000001</v>
      </c>
      <c r="BW38" s="68">
        <v>9.0618711219999994</v>
      </c>
      <c r="BX38" s="582">
        <v>0.94705185700000005</v>
      </c>
      <c r="BY38" s="582">
        <v>3.0380694770000001</v>
      </c>
      <c r="BZ38" s="582">
        <v>4.764669874</v>
      </c>
      <c r="CA38" s="582">
        <v>4.2560190540000002</v>
      </c>
      <c r="CB38" s="582">
        <v>2.1434416820000002</v>
      </c>
    </row>
    <row r="39" spans="1:80" ht="15" customHeight="1" x14ac:dyDescent="0.3">
      <c r="A39" s="207" t="s">
        <v>181</v>
      </c>
      <c r="B39" s="146" t="s">
        <v>197</v>
      </c>
      <c r="C39" s="146" t="s">
        <v>280</v>
      </c>
      <c r="D39" s="146" t="s">
        <v>281</v>
      </c>
      <c r="E39" s="280" t="s">
        <v>186</v>
      </c>
      <c r="F39" s="280" t="s">
        <v>992</v>
      </c>
      <c r="G39" s="128" t="s">
        <v>185</v>
      </c>
      <c r="H39" s="279"/>
      <c r="J39" s="129" t="s">
        <v>188</v>
      </c>
      <c r="K39" s="135" t="s">
        <v>188</v>
      </c>
      <c r="L39" s="135"/>
      <c r="M39" s="461"/>
      <c r="N39" s="135"/>
      <c r="O39" s="135"/>
      <c r="P39" s="135"/>
      <c r="Q39" s="135"/>
      <c r="R39" s="135"/>
      <c r="S39" s="126"/>
      <c r="AL39" s="61">
        <v>52.565890382626996</v>
      </c>
      <c r="AM39" s="61">
        <v>33.235929624055352</v>
      </c>
      <c r="AN39" s="61">
        <v>14.198179993317643</v>
      </c>
      <c r="AO39" s="62">
        <v>47.434109617372997</v>
      </c>
      <c r="BH39" s="25">
        <v>64.887306789800391</v>
      </c>
      <c r="BI39" s="25">
        <v>20.914513216881961</v>
      </c>
      <c r="BJ39" s="25">
        <v>14.198179993317645</v>
      </c>
      <c r="BK39" s="24">
        <v>35.112693210199609</v>
      </c>
      <c r="BL39" s="216" t="s">
        <v>1097</v>
      </c>
      <c r="BN39" s="8">
        <v>0.38869595499999998</v>
      </c>
      <c r="BO39" s="8">
        <v>12.273523559999999</v>
      </c>
      <c r="BP39" s="8">
        <v>20.83321935</v>
      </c>
      <c r="BQ39" s="8">
        <v>12.434524079999999</v>
      </c>
      <c r="BR39" s="8">
        <v>1.708468162</v>
      </c>
      <c r="BS39" s="26" t="s">
        <v>220</v>
      </c>
      <c r="BT39" s="77" t="s">
        <v>220</v>
      </c>
      <c r="BU39" s="77" t="s">
        <v>220</v>
      </c>
      <c r="BV39" s="77" t="s">
        <v>220</v>
      </c>
      <c r="BW39" s="68" t="s">
        <v>220</v>
      </c>
      <c r="BX39" s="582">
        <v>0.40777316800000002</v>
      </c>
      <c r="BY39" s="582">
        <v>9.8383373350000003</v>
      </c>
      <c r="BZ39" s="582">
        <v>18.359659199999999</v>
      </c>
      <c r="CA39" s="582">
        <v>11.02674747</v>
      </c>
      <c r="CB39" s="582">
        <v>1.3797574349999999</v>
      </c>
    </row>
    <row r="40" spans="1:80" ht="15" customHeight="1" x14ac:dyDescent="0.3">
      <c r="A40" s="207" t="s">
        <v>181</v>
      </c>
      <c r="B40" s="146" t="s">
        <v>197</v>
      </c>
      <c r="C40" s="146" t="s">
        <v>282</v>
      </c>
      <c r="D40" s="295" t="s">
        <v>1094</v>
      </c>
      <c r="E40" s="280" t="s">
        <v>186</v>
      </c>
      <c r="F40" s="280" t="s">
        <v>992</v>
      </c>
      <c r="G40" s="281" t="s">
        <v>211</v>
      </c>
      <c r="H40" s="279" t="s">
        <v>284</v>
      </c>
      <c r="J40" s="154" t="s">
        <v>188</v>
      </c>
      <c r="K40" s="199" t="s">
        <v>188</v>
      </c>
      <c r="L40" s="199"/>
      <c r="M40" s="462"/>
      <c r="N40" s="199"/>
      <c r="O40" s="199"/>
      <c r="P40" s="199"/>
      <c r="Q40" s="199"/>
      <c r="R40" s="199"/>
      <c r="S40" s="126"/>
      <c r="T40" s="53"/>
      <c r="U40" s="53"/>
      <c r="V40" s="53"/>
      <c r="W40" s="53"/>
      <c r="X40" s="53"/>
      <c r="Y40" s="53"/>
      <c r="Z40" s="53"/>
      <c r="AA40" s="53"/>
      <c r="AB40" s="53"/>
      <c r="AC40" s="53"/>
      <c r="AD40" s="53"/>
      <c r="AE40" s="53"/>
      <c r="AF40" s="53"/>
      <c r="AG40" s="53"/>
      <c r="AH40" s="53"/>
      <c r="AI40" s="53"/>
      <c r="AJ40" s="53"/>
      <c r="AK40" s="53"/>
      <c r="AL40" s="61">
        <v>91.652139367630781</v>
      </c>
      <c r="AM40" s="61">
        <v>4.955909554587544</v>
      </c>
      <c r="AN40" s="61">
        <v>3.3919510777816728</v>
      </c>
      <c r="AO40" s="62">
        <v>8.3478606323692173</v>
      </c>
      <c r="AP40" s="50"/>
      <c r="AQ40" s="50"/>
      <c r="AR40" s="50"/>
      <c r="AS40" s="50"/>
      <c r="AT40" s="50"/>
      <c r="AU40" s="50"/>
      <c r="AV40" s="50"/>
      <c r="AW40" s="50"/>
      <c r="AX40" s="50"/>
      <c r="AY40" s="50"/>
      <c r="AZ40" s="50"/>
      <c r="BA40" s="50"/>
      <c r="BB40" s="50"/>
      <c r="BC40" s="50"/>
      <c r="BD40" s="50"/>
      <c r="BE40" s="50"/>
      <c r="BF40" s="50"/>
      <c r="BG40" s="50"/>
      <c r="BH40" s="25">
        <v>93.437340797129053</v>
      </c>
      <c r="BI40" s="25">
        <v>3.1707081250892699</v>
      </c>
      <c r="BJ40" s="25">
        <v>3.3919510777816728</v>
      </c>
      <c r="BK40" s="24">
        <v>6.5626592028709432</v>
      </c>
      <c r="BL40" s="216" t="s">
        <v>92</v>
      </c>
      <c r="BN40" s="582">
        <v>0.35434289899999999</v>
      </c>
      <c r="BO40" s="582">
        <v>1.778875695</v>
      </c>
      <c r="BP40" s="582">
        <v>3.1594729460000002</v>
      </c>
      <c r="BQ40" s="582">
        <v>2.3910912839999998</v>
      </c>
      <c r="BR40" s="582">
        <v>0.98884065600000004</v>
      </c>
      <c r="BS40" s="26" t="s">
        <v>220</v>
      </c>
      <c r="BT40" s="77" t="s">
        <v>220</v>
      </c>
      <c r="BU40" s="77" t="s">
        <v>220</v>
      </c>
      <c r="BV40" s="77" t="s">
        <v>220</v>
      </c>
      <c r="BW40" s="68" t="s">
        <v>220</v>
      </c>
      <c r="BX40" s="582">
        <v>0.35434289899999999</v>
      </c>
      <c r="BY40" s="582">
        <v>1.778875695</v>
      </c>
      <c r="BZ40" s="582">
        <v>3.1594729460000002</v>
      </c>
      <c r="CA40" s="582">
        <v>2.3910912839999998</v>
      </c>
      <c r="CB40" s="582">
        <v>0.98884065600000004</v>
      </c>
    </row>
    <row r="41" spans="1:80" ht="15" customHeight="1" x14ac:dyDescent="0.3">
      <c r="A41" s="207" t="s">
        <v>181</v>
      </c>
      <c r="B41" s="146" t="s">
        <v>197</v>
      </c>
      <c r="C41" s="146" t="s">
        <v>282</v>
      </c>
      <c r="D41" s="295" t="s">
        <v>1095</v>
      </c>
      <c r="E41" s="280" t="s">
        <v>186</v>
      </c>
      <c r="F41" s="280" t="s">
        <v>998</v>
      </c>
      <c r="G41" s="281" t="s">
        <v>286</v>
      </c>
      <c r="H41" s="279" t="s">
        <v>284</v>
      </c>
      <c r="J41" s="154" t="s">
        <v>192</v>
      </c>
      <c r="K41" s="199"/>
      <c r="L41" s="199"/>
      <c r="M41" s="462"/>
      <c r="N41" s="199"/>
      <c r="O41" s="199"/>
      <c r="P41" s="199"/>
      <c r="Q41" s="199"/>
      <c r="R41" s="199"/>
      <c r="S41" s="126"/>
      <c r="T41" s="53"/>
      <c r="U41" s="53"/>
      <c r="V41" s="53"/>
      <c r="W41" s="53"/>
      <c r="X41" s="53"/>
      <c r="Y41" s="53"/>
      <c r="Z41" s="53"/>
      <c r="AA41" s="53"/>
      <c r="AB41" s="53"/>
      <c r="AC41" s="53"/>
      <c r="AD41" s="53"/>
      <c r="AE41" s="53"/>
      <c r="AF41" s="53"/>
      <c r="AG41" s="53"/>
      <c r="AH41" s="53"/>
      <c r="AI41" s="53"/>
      <c r="AJ41" s="53"/>
      <c r="AK41" s="53"/>
      <c r="AL41" s="61">
        <v>92.894446416552455</v>
      </c>
      <c r="AM41" s="61">
        <v>4.3937331599797602</v>
      </c>
      <c r="AN41" s="61">
        <v>2.7118204234677896</v>
      </c>
      <c r="AO41" s="62">
        <v>7.1055535834475503</v>
      </c>
      <c r="AP41" s="50"/>
      <c r="AQ41" s="50"/>
      <c r="AR41" s="50"/>
      <c r="AS41" s="50"/>
      <c r="AT41" s="50"/>
      <c r="AU41" s="50"/>
      <c r="AV41" s="50"/>
      <c r="AW41" s="50"/>
      <c r="AX41" s="50"/>
      <c r="AY41" s="50"/>
      <c r="AZ41" s="50"/>
      <c r="BA41" s="50"/>
      <c r="BB41" s="50"/>
      <c r="BC41" s="50"/>
      <c r="BD41" s="50"/>
      <c r="BE41" s="50"/>
      <c r="BF41" s="50"/>
      <c r="BG41" s="50"/>
      <c r="BH41" s="25">
        <v>94.903223409030844</v>
      </c>
      <c r="BI41" s="25">
        <v>2.3849561675013731</v>
      </c>
      <c r="BJ41" s="25">
        <v>2.7118204234677901</v>
      </c>
      <c r="BK41" s="24">
        <v>5.0967765909691636</v>
      </c>
      <c r="BL41" s="216" t="s">
        <v>92</v>
      </c>
      <c r="BN41" s="582">
        <v>0.19787938099999999</v>
      </c>
      <c r="BO41" s="582">
        <v>2.0048020370000001</v>
      </c>
      <c r="BP41" s="582">
        <v>2.3802368309999999</v>
      </c>
      <c r="BQ41" s="582">
        <v>1.8128098909999999</v>
      </c>
      <c r="BR41" s="582">
        <v>0.89364439900000003</v>
      </c>
      <c r="BS41" s="26" t="s">
        <v>220</v>
      </c>
      <c r="BT41" s="77" t="s">
        <v>220</v>
      </c>
      <c r="BU41" s="77" t="s">
        <v>220</v>
      </c>
      <c r="BV41" s="77" t="s">
        <v>220</v>
      </c>
      <c r="BW41" s="68" t="s">
        <v>220</v>
      </c>
      <c r="BX41" s="582">
        <v>0.19787938099999999</v>
      </c>
      <c r="BY41" s="582">
        <v>2.0048020370000001</v>
      </c>
      <c r="BZ41" s="582">
        <v>2.3802368309999999</v>
      </c>
      <c r="CA41" s="582">
        <v>1.8128098909999999</v>
      </c>
      <c r="CB41" s="582">
        <v>0.89364439900000003</v>
      </c>
    </row>
    <row r="42" spans="1:80" ht="15" customHeight="1" x14ac:dyDescent="0.3">
      <c r="A42" s="207" t="s">
        <v>181</v>
      </c>
      <c r="B42" s="146" t="s">
        <v>197</v>
      </c>
      <c r="C42" s="146" t="s">
        <v>282</v>
      </c>
      <c r="D42" s="295" t="s">
        <v>1096</v>
      </c>
      <c r="E42" s="280" t="s">
        <v>186</v>
      </c>
      <c r="F42" s="280" t="s">
        <v>998</v>
      </c>
      <c r="G42" s="281" t="s">
        <v>286</v>
      </c>
      <c r="H42" s="279" t="s">
        <v>284</v>
      </c>
      <c r="J42" s="154" t="s">
        <v>192</v>
      </c>
      <c r="K42" s="199"/>
      <c r="L42" s="199"/>
      <c r="M42" s="462"/>
      <c r="N42" s="199"/>
      <c r="O42" s="199"/>
      <c r="P42" s="199"/>
      <c r="Q42" s="199"/>
      <c r="R42" s="199"/>
      <c r="S42" s="126"/>
      <c r="T42" s="53"/>
      <c r="U42" s="53"/>
      <c r="V42" s="53"/>
      <c r="W42" s="53"/>
      <c r="X42" s="53"/>
      <c r="Y42" s="53"/>
      <c r="Z42" s="53"/>
      <c r="AA42" s="53"/>
      <c r="AB42" s="53"/>
      <c r="AC42" s="53"/>
      <c r="AD42" s="53"/>
      <c r="AE42" s="53"/>
      <c r="AF42" s="53"/>
      <c r="AG42" s="53"/>
      <c r="AH42" s="53"/>
      <c r="AI42" s="53"/>
      <c r="AJ42" s="53"/>
      <c r="AK42" s="53"/>
      <c r="AL42" s="61">
        <v>100</v>
      </c>
      <c r="AM42" s="61">
        <v>0</v>
      </c>
      <c r="AN42" s="61">
        <v>0</v>
      </c>
      <c r="AO42" s="62">
        <v>0</v>
      </c>
      <c r="AP42" s="50"/>
      <c r="AQ42" s="50"/>
      <c r="AR42" s="50"/>
      <c r="AS42" s="50"/>
      <c r="AT42" s="50"/>
      <c r="AU42" s="50"/>
      <c r="AV42" s="50"/>
      <c r="AW42" s="50"/>
      <c r="AX42" s="50"/>
      <c r="AY42" s="50"/>
      <c r="AZ42" s="50"/>
      <c r="BA42" s="50"/>
      <c r="BB42" s="50"/>
      <c r="BC42" s="50"/>
      <c r="BD42" s="50"/>
      <c r="BE42" s="50"/>
      <c r="BF42" s="50"/>
      <c r="BG42" s="50"/>
      <c r="BH42" s="25">
        <v>100</v>
      </c>
      <c r="BI42" s="25">
        <v>0</v>
      </c>
      <c r="BJ42" s="25">
        <v>0</v>
      </c>
      <c r="BK42" s="24">
        <v>0</v>
      </c>
      <c r="BL42" s="216" t="s">
        <v>92</v>
      </c>
      <c r="BN42" s="582">
        <v>0</v>
      </c>
      <c r="BO42" s="582">
        <v>0</v>
      </c>
      <c r="BP42" s="582">
        <v>0</v>
      </c>
      <c r="BQ42" s="582">
        <v>0</v>
      </c>
      <c r="BR42" s="582">
        <v>0</v>
      </c>
      <c r="BS42" s="26">
        <v>0.88361011199999995</v>
      </c>
      <c r="BT42" s="77">
        <v>4.5434695759999997</v>
      </c>
      <c r="BU42" s="77">
        <v>10.12293403</v>
      </c>
      <c r="BV42" s="77">
        <v>6.4859952559999998</v>
      </c>
      <c r="BW42" s="68">
        <v>2.2568860580000001</v>
      </c>
      <c r="BX42" s="582">
        <v>0</v>
      </c>
      <c r="BY42" s="582">
        <v>0</v>
      </c>
      <c r="BZ42" s="582">
        <v>0</v>
      </c>
      <c r="CA42" s="582">
        <v>0</v>
      </c>
      <c r="CB42" s="582">
        <v>0</v>
      </c>
    </row>
    <row r="43" spans="1:80" ht="15" customHeight="1" x14ac:dyDescent="0.3">
      <c r="A43" s="207" t="s">
        <v>181</v>
      </c>
      <c r="B43" s="295" t="s">
        <v>208</v>
      </c>
      <c r="C43" s="146" t="s">
        <v>288</v>
      </c>
      <c r="D43" s="295" t="s">
        <v>289</v>
      </c>
      <c r="E43" s="280" t="s">
        <v>704</v>
      </c>
      <c r="F43" s="280" t="s">
        <v>995</v>
      </c>
      <c r="G43" s="281" t="s">
        <v>185</v>
      </c>
      <c r="H43" s="279"/>
      <c r="I43" s="128" t="s">
        <v>187</v>
      </c>
      <c r="J43" s="154" t="s">
        <v>187</v>
      </c>
      <c r="K43" s="199" t="s">
        <v>187</v>
      </c>
      <c r="L43" s="199" t="s">
        <v>187</v>
      </c>
      <c r="M43" s="462"/>
      <c r="N43" s="199"/>
      <c r="O43" s="199"/>
      <c r="P43" s="199"/>
      <c r="Q43" s="199"/>
      <c r="R43" s="199"/>
      <c r="S43" s="126"/>
      <c r="T43" s="55"/>
      <c r="U43" s="55"/>
      <c r="V43" s="55"/>
      <c r="W43" s="55"/>
      <c r="X43" s="55"/>
      <c r="Y43" s="55"/>
      <c r="Z43" s="55"/>
      <c r="AA43" s="55"/>
      <c r="AB43" s="55"/>
      <c r="AC43" s="55"/>
      <c r="AD43" s="55"/>
      <c r="AE43" s="55"/>
      <c r="AF43" s="55"/>
      <c r="AG43" s="55"/>
      <c r="AH43" s="55"/>
      <c r="AI43" s="55"/>
      <c r="AJ43" s="55"/>
      <c r="AK43" s="55"/>
      <c r="AL43" s="61">
        <v>76.382024258094816</v>
      </c>
      <c r="AM43" s="61">
        <v>14.797152743933481</v>
      </c>
      <c r="AN43" s="61">
        <v>8.8208229979716997</v>
      </c>
      <c r="AO43" s="62">
        <v>23.61797574190518</v>
      </c>
      <c r="AP43" s="52"/>
      <c r="AQ43" s="52"/>
      <c r="AR43" s="52"/>
      <c r="AS43" s="52"/>
      <c r="AT43" s="52"/>
      <c r="AU43" s="52"/>
      <c r="AV43" s="52"/>
      <c r="AW43" s="52"/>
      <c r="AX43" s="52"/>
      <c r="AY43" s="52"/>
      <c r="AZ43" s="52"/>
      <c r="BA43" s="52"/>
      <c r="BB43" s="52"/>
      <c r="BC43" s="52"/>
      <c r="BD43" s="52"/>
      <c r="BE43" s="52"/>
      <c r="BF43" s="52"/>
      <c r="BG43" s="52"/>
      <c r="BH43" s="25">
        <v>80.965998292191543</v>
      </c>
      <c r="BI43" s="25">
        <v>10.213178709836749</v>
      </c>
      <c r="BJ43" s="25">
        <v>8.8208229979716979</v>
      </c>
      <c r="BK43" s="24">
        <v>19.034001707808446</v>
      </c>
      <c r="BL43" s="216" t="s">
        <v>1097</v>
      </c>
      <c r="BN43" s="8">
        <v>0.88361011199999995</v>
      </c>
      <c r="BO43" s="8">
        <v>4.5434695759999997</v>
      </c>
      <c r="BP43" s="8">
        <v>10.12293403</v>
      </c>
      <c r="BQ43" s="8">
        <v>6.4859952559999998</v>
      </c>
      <c r="BR43" s="8">
        <v>2.2568860580000001</v>
      </c>
      <c r="BS43" s="26">
        <v>0.69277394800000003</v>
      </c>
      <c r="BT43" s="77">
        <v>13.18729579</v>
      </c>
      <c r="BU43" s="77">
        <v>21.27939482</v>
      </c>
      <c r="BV43" s="77">
        <v>13.164957100000001</v>
      </c>
      <c r="BW43" s="68">
        <v>1.734927511</v>
      </c>
      <c r="BX43" s="582">
        <v>0.89653495299999997</v>
      </c>
      <c r="BY43" s="582">
        <v>6.4041455999999997</v>
      </c>
      <c r="BZ43" s="582">
        <v>13.072090790000001</v>
      </c>
      <c r="CA43" s="582">
        <v>10.08909491</v>
      </c>
      <c r="CB43" s="582">
        <v>4.0597924619999999</v>
      </c>
    </row>
    <row r="44" spans="1:80" s="124" customFormat="1" ht="15" customHeight="1" x14ac:dyDescent="0.3">
      <c r="A44" s="207" t="s">
        <v>181</v>
      </c>
      <c r="B44" s="295" t="s">
        <v>208</v>
      </c>
      <c r="C44" s="146" t="s">
        <v>290</v>
      </c>
      <c r="D44" s="146" t="s">
        <v>291</v>
      </c>
      <c r="E44" s="280" t="s">
        <v>186</v>
      </c>
      <c r="F44" s="280" t="s">
        <v>992</v>
      </c>
      <c r="G44" s="592" t="s">
        <v>185</v>
      </c>
      <c r="H44" s="593"/>
      <c r="I44" s="592"/>
      <c r="J44" s="594" t="s">
        <v>188</v>
      </c>
      <c r="K44" s="595" t="s">
        <v>188</v>
      </c>
      <c r="L44" s="595"/>
      <c r="M44" s="596"/>
      <c r="N44" s="595"/>
      <c r="O44" s="595"/>
      <c r="P44" s="595"/>
      <c r="Q44" s="595"/>
      <c r="R44" s="595"/>
      <c r="S44" s="392"/>
      <c r="T44" s="146"/>
      <c r="U44" s="146"/>
      <c r="V44" s="146"/>
      <c r="W44" s="146"/>
      <c r="X44" s="146"/>
      <c r="Y44" s="146"/>
      <c r="Z44" s="146"/>
      <c r="AA44" s="146"/>
      <c r="AB44" s="146"/>
      <c r="AC44" s="146"/>
      <c r="AD44" s="146"/>
      <c r="AE44" s="146"/>
      <c r="AF44" s="146"/>
      <c r="AG44" s="146"/>
      <c r="AH44" s="146"/>
      <c r="AI44" s="146"/>
      <c r="AJ44" s="146"/>
      <c r="AK44" s="146"/>
      <c r="AL44" s="148">
        <v>50.28904020020628</v>
      </c>
      <c r="AM44" s="148">
        <v>34.70713258263028</v>
      </c>
      <c r="AN44" s="148">
        <v>15.00382721716344</v>
      </c>
      <c r="AO44" s="583">
        <v>49.71095979979372</v>
      </c>
      <c r="BH44" s="25">
        <v>63.568331460536889</v>
      </c>
      <c r="BI44" s="25">
        <v>21.42784132229967</v>
      </c>
      <c r="BJ44" s="25">
        <v>15.003827217163442</v>
      </c>
      <c r="BK44" s="24">
        <v>36.431668539463111</v>
      </c>
      <c r="BL44" s="216" t="s">
        <v>1097</v>
      </c>
      <c r="BM44" s="163"/>
      <c r="BN44" s="150">
        <v>0.69277394800000003</v>
      </c>
      <c r="BO44" s="150">
        <v>13.18729579</v>
      </c>
      <c r="BP44" s="150">
        <v>21.27939482</v>
      </c>
      <c r="BQ44" s="150">
        <v>13.164957100000001</v>
      </c>
      <c r="BR44" s="150">
        <v>1.734927511</v>
      </c>
      <c r="BS44" s="287">
        <v>3.1254986420000002</v>
      </c>
      <c r="BT44" s="148">
        <v>3.5154912519999999</v>
      </c>
      <c r="BU44" s="148">
        <v>5.2171386560000004</v>
      </c>
      <c r="BV44" s="148">
        <v>3.40593528</v>
      </c>
      <c r="BW44" s="161">
        <v>1.287423719</v>
      </c>
      <c r="BX44" s="150">
        <v>0.59502229299999998</v>
      </c>
      <c r="BY44" s="150">
        <v>10.651890870000001</v>
      </c>
      <c r="BZ44" s="150">
        <v>18.610827650000001</v>
      </c>
      <c r="CA44" s="150">
        <v>11.646558539999999</v>
      </c>
      <c r="CB44" s="150">
        <v>1.6100607899999999</v>
      </c>
    </row>
    <row r="45" spans="1:80" ht="15" customHeight="1" x14ac:dyDescent="0.3">
      <c r="A45" s="207" t="s">
        <v>181</v>
      </c>
      <c r="B45" s="295" t="s">
        <v>208</v>
      </c>
      <c r="C45" s="146" t="s">
        <v>292</v>
      </c>
      <c r="D45" s="146" t="s">
        <v>293</v>
      </c>
      <c r="E45" s="280" t="s">
        <v>704</v>
      </c>
      <c r="F45" s="280" t="s">
        <v>994</v>
      </c>
      <c r="G45" s="128" t="s">
        <v>185</v>
      </c>
      <c r="H45" s="279"/>
      <c r="J45" s="129" t="s">
        <v>201</v>
      </c>
      <c r="K45" s="135" t="s">
        <v>267</v>
      </c>
      <c r="L45" s="135"/>
      <c r="M45" s="460" t="s">
        <v>972</v>
      </c>
      <c r="N45" s="135"/>
      <c r="O45" s="135"/>
      <c r="P45" s="135"/>
      <c r="Q45" s="135"/>
      <c r="R45" s="135"/>
      <c r="S45" s="126"/>
      <c r="AL45" s="61">
        <v>80.367593357215199</v>
      </c>
      <c r="AM45" s="61">
        <v>12.961017855603906</v>
      </c>
      <c r="AN45" s="61">
        <v>6.6713887871808968</v>
      </c>
      <c r="AO45" s="62">
        <v>19.632406642784801</v>
      </c>
      <c r="BH45" s="25">
        <v>84.889320579034091</v>
      </c>
      <c r="BI45" s="25">
        <v>8.4392906337850064</v>
      </c>
      <c r="BJ45" s="25">
        <v>6.6713887871808968</v>
      </c>
      <c r="BK45" s="24">
        <v>15.110679420965903</v>
      </c>
      <c r="BL45" s="216" t="s">
        <v>1097</v>
      </c>
      <c r="BN45" s="8">
        <v>0.114131936</v>
      </c>
      <c r="BO45" s="8">
        <v>4.5165664870000004</v>
      </c>
      <c r="BP45" s="8">
        <v>8.4296587079999998</v>
      </c>
      <c r="BQ45" s="8">
        <v>5.6446221320000003</v>
      </c>
      <c r="BR45" s="8">
        <v>1.0191524700000001</v>
      </c>
      <c r="BS45" s="26">
        <v>0.427318841</v>
      </c>
      <c r="BT45" s="77">
        <v>10.781562940000001</v>
      </c>
      <c r="BU45" s="77">
        <v>26.85524526</v>
      </c>
      <c r="BV45" s="77">
        <v>23.512888289999999</v>
      </c>
      <c r="BW45" s="68">
        <v>10.864586340000001</v>
      </c>
      <c r="BX45" s="582">
        <v>0.11490352700000001</v>
      </c>
      <c r="BY45" s="582">
        <v>4.577551809</v>
      </c>
      <c r="BZ45" s="582">
        <v>8.1602228239999999</v>
      </c>
      <c r="CA45" s="582">
        <v>5.1410292489999998</v>
      </c>
      <c r="CB45" s="582">
        <v>0.87170887200000002</v>
      </c>
    </row>
    <row r="46" spans="1:80" ht="15" customHeight="1" x14ac:dyDescent="0.3">
      <c r="A46" s="207" t="s">
        <v>181</v>
      </c>
      <c r="B46" s="295" t="s">
        <v>208</v>
      </c>
      <c r="C46" s="146" t="s">
        <v>294</v>
      </c>
      <c r="D46" s="146" t="s">
        <v>295</v>
      </c>
      <c r="E46" s="280" t="s">
        <v>704</v>
      </c>
      <c r="F46" s="128" t="s">
        <v>882</v>
      </c>
      <c r="G46" s="128" t="s">
        <v>185</v>
      </c>
      <c r="H46" s="279"/>
      <c r="J46" s="129" t="s">
        <v>188</v>
      </c>
      <c r="K46" s="135" t="s">
        <v>188</v>
      </c>
      <c r="L46" s="135"/>
      <c r="M46" s="461"/>
      <c r="N46" s="135"/>
      <c r="O46" s="135"/>
      <c r="P46" s="135"/>
      <c r="Q46" s="135"/>
      <c r="R46" s="135"/>
      <c r="S46" s="126"/>
      <c r="AL46" s="61">
        <v>27.676665937109888</v>
      </c>
      <c r="AM46" s="61">
        <v>37.798327575312214</v>
      </c>
      <c r="AN46" s="61">
        <v>34.525006487577897</v>
      </c>
      <c r="AO46" s="62">
        <v>72.323334062890112</v>
      </c>
      <c r="BH46" s="25">
        <v>56.891734585779922</v>
      </c>
      <c r="BI46" s="25">
        <v>19.108324464891393</v>
      </c>
      <c r="BJ46" s="25">
        <v>23.999940949328682</v>
      </c>
      <c r="BK46" s="24">
        <v>43.108265414220071</v>
      </c>
      <c r="BL46" s="216" t="s">
        <v>1097</v>
      </c>
      <c r="BN46" s="8">
        <v>0.427318841</v>
      </c>
      <c r="BO46" s="8">
        <v>10.781562940000001</v>
      </c>
      <c r="BP46" s="8">
        <v>26.85524526</v>
      </c>
      <c r="BQ46" s="8">
        <v>23.512888289999999</v>
      </c>
      <c r="BR46" s="8">
        <v>10.864586340000001</v>
      </c>
      <c r="BS46" s="26" t="s">
        <v>220</v>
      </c>
      <c r="BT46" s="77" t="s">
        <v>220</v>
      </c>
      <c r="BU46" s="77" t="s">
        <v>220</v>
      </c>
      <c r="BV46" s="77" t="s">
        <v>220</v>
      </c>
      <c r="BW46" s="68" t="s">
        <v>220</v>
      </c>
      <c r="BX46" s="582">
        <v>1.451764748</v>
      </c>
      <c r="BY46" s="582">
        <v>8.8684522220000002</v>
      </c>
      <c r="BZ46" s="582">
        <v>18.902931850000002</v>
      </c>
      <c r="CA46" s="582">
        <v>15.73816298</v>
      </c>
      <c r="CB46" s="582">
        <v>7.6806766450000001</v>
      </c>
    </row>
    <row r="47" spans="1:80" ht="15" customHeight="1" x14ac:dyDescent="0.3">
      <c r="A47" s="207" t="s">
        <v>181</v>
      </c>
      <c r="B47" s="295" t="s">
        <v>208</v>
      </c>
      <c r="C47" s="146" t="s">
        <v>296</v>
      </c>
      <c r="D47" s="146" t="s">
        <v>297</v>
      </c>
      <c r="E47" s="280" t="s">
        <v>186</v>
      </c>
      <c r="F47" s="280" t="s">
        <v>992</v>
      </c>
      <c r="G47" s="128" t="s">
        <v>185</v>
      </c>
      <c r="H47" s="279" t="s">
        <v>298</v>
      </c>
      <c r="J47" s="129" t="s">
        <v>188</v>
      </c>
      <c r="K47" s="135" t="s">
        <v>188</v>
      </c>
      <c r="L47" s="135"/>
      <c r="M47" s="461"/>
      <c r="N47" s="135"/>
      <c r="O47" s="135"/>
      <c r="P47" s="135"/>
      <c r="Q47" s="135"/>
      <c r="R47" s="135"/>
      <c r="S47" s="126"/>
      <c r="T47" s="54"/>
      <c r="U47" s="54"/>
      <c r="V47" s="54"/>
      <c r="W47" s="54"/>
      <c r="X47" s="54"/>
      <c r="Y47" s="54"/>
      <c r="Z47" s="54"/>
      <c r="AA47" s="54"/>
      <c r="AB47" s="54"/>
      <c r="AC47" s="54"/>
      <c r="AD47" s="54"/>
      <c r="AE47" s="54"/>
      <c r="AF47" s="54"/>
      <c r="AG47" s="54"/>
      <c r="AH47" s="54"/>
      <c r="AI47" s="54"/>
      <c r="AJ47" s="54"/>
      <c r="AK47" s="54"/>
      <c r="AL47" s="61">
        <v>68.782387311892805</v>
      </c>
      <c r="AM47" s="61">
        <v>19.135901231375776</v>
      </c>
      <c r="AN47" s="61">
        <v>12.081711456731416</v>
      </c>
      <c r="AO47" s="62">
        <v>31.217612688107192</v>
      </c>
      <c r="AP47" s="49"/>
      <c r="AQ47" s="49"/>
      <c r="AR47" s="49"/>
      <c r="AS47" s="49"/>
      <c r="AT47" s="49"/>
      <c r="AU47" s="49"/>
      <c r="AV47" s="49"/>
      <c r="AW47" s="49"/>
      <c r="AX47" s="49"/>
      <c r="AY47" s="49"/>
      <c r="AZ47" s="49"/>
      <c r="BA47" s="49"/>
      <c r="BB47" s="49"/>
      <c r="BC47" s="49"/>
      <c r="BD47" s="49"/>
      <c r="BE47" s="49"/>
      <c r="BF47" s="49"/>
      <c r="BG47" s="49"/>
      <c r="BH47" s="25">
        <v>75.156297247680897</v>
      </c>
      <c r="BI47" s="25">
        <v>12.761991295587686</v>
      </c>
      <c r="BJ47" s="25">
        <v>12.081711456731416</v>
      </c>
      <c r="BK47" s="24">
        <v>24.843702752319103</v>
      </c>
      <c r="BL47" s="216" t="s">
        <v>1097</v>
      </c>
      <c r="BN47" s="8">
        <v>0.53082888100000003</v>
      </c>
      <c r="BO47" s="8">
        <v>6.3400753810000001</v>
      </c>
      <c r="BP47" s="8">
        <v>12.694246959999999</v>
      </c>
      <c r="BQ47" s="8">
        <v>9.2557292929999999</v>
      </c>
      <c r="BR47" s="8">
        <v>2.7618489500000001</v>
      </c>
      <c r="BS47" s="26">
        <v>0.48404740499999999</v>
      </c>
      <c r="BT47" s="77">
        <v>8.2507080580000007</v>
      </c>
      <c r="BU47" s="77">
        <v>15.98099566</v>
      </c>
      <c r="BV47" s="77">
        <v>10.52588224</v>
      </c>
      <c r="BW47" s="68">
        <v>1.5943841999999999</v>
      </c>
      <c r="BX47" s="582">
        <v>0.43584550700000002</v>
      </c>
      <c r="BY47" s="582">
        <v>4.8750638469999998</v>
      </c>
      <c r="BZ47" s="582">
        <v>9.7323289309999996</v>
      </c>
      <c r="CA47" s="582">
        <v>7.0279224390000001</v>
      </c>
      <c r="CB47" s="582">
        <v>2.1263415010000002</v>
      </c>
    </row>
    <row r="48" spans="1:80" ht="15" customHeight="1" x14ac:dyDescent="0.3">
      <c r="A48" s="207" t="s">
        <v>181</v>
      </c>
      <c r="B48" s="295" t="s">
        <v>208</v>
      </c>
      <c r="C48" s="146" t="s">
        <v>299</v>
      </c>
      <c r="D48" s="146" t="s">
        <v>300</v>
      </c>
      <c r="E48" s="280" t="s">
        <v>186</v>
      </c>
      <c r="F48" s="280" t="s">
        <v>998</v>
      </c>
      <c r="G48" s="128" t="s">
        <v>215</v>
      </c>
      <c r="H48" s="279" t="s">
        <v>298</v>
      </c>
      <c r="J48" s="282" t="s">
        <v>192</v>
      </c>
      <c r="K48" s="281"/>
      <c r="L48" s="281"/>
      <c r="M48" s="465"/>
      <c r="N48" s="281"/>
      <c r="O48" s="281"/>
      <c r="P48" s="281"/>
      <c r="Q48" s="281"/>
      <c r="R48" s="281"/>
      <c r="S48" s="126"/>
      <c r="T48" s="54"/>
      <c r="U48" s="54"/>
      <c r="V48" s="54"/>
      <c r="W48" s="54"/>
      <c r="X48" s="54"/>
      <c r="Y48" s="54"/>
      <c r="Z48" s="54"/>
      <c r="AA48" s="54"/>
      <c r="AB48" s="54"/>
      <c r="AC48" s="54"/>
      <c r="AD48" s="54"/>
      <c r="AE48" s="54"/>
      <c r="AF48" s="54"/>
      <c r="AG48" s="54"/>
      <c r="AH48" s="54"/>
      <c r="AI48" s="54"/>
      <c r="AJ48" s="54"/>
      <c r="AK48" s="54"/>
      <c r="AL48" s="61">
        <v>63.471213197404047</v>
      </c>
      <c r="AM48" s="61">
        <v>24.349567165995733</v>
      </c>
      <c r="AN48" s="61">
        <v>12.179219636600214</v>
      </c>
      <c r="AO48" s="62">
        <v>36.528786802595945</v>
      </c>
      <c r="AP48" s="49"/>
      <c r="AQ48" s="49"/>
      <c r="AR48" s="49"/>
      <c r="AS48" s="49"/>
      <c r="AT48" s="49"/>
      <c r="AU48" s="49"/>
      <c r="AV48" s="49"/>
      <c r="AW48" s="49"/>
      <c r="AX48" s="49"/>
      <c r="AY48" s="49"/>
      <c r="AZ48" s="49"/>
      <c r="BA48" s="49"/>
      <c r="BB48" s="49"/>
      <c r="BC48" s="49"/>
      <c r="BD48" s="49"/>
      <c r="BE48" s="49"/>
      <c r="BF48" s="49"/>
      <c r="BG48" s="49"/>
      <c r="BH48" s="25">
        <v>71.762052849593189</v>
      </c>
      <c r="BI48" s="25">
        <v>16.058727513806602</v>
      </c>
      <c r="BJ48" s="25">
        <v>12.179219636600214</v>
      </c>
      <c r="BK48" s="24">
        <v>28.237947150406818</v>
      </c>
      <c r="BL48" s="216" t="s">
        <v>1097</v>
      </c>
      <c r="BN48" s="8">
        <v>0.48404740499999999</v>
      </c>
      <c r="BO48" s="8">
        <v>8.2507080580000007</v>
      </c>
      <c r="BP48" s="8">
        <v>15.98099566</v>
      </c>
      <c r="BQ48" s="8">
        <v>10.52588224</v>
      </c>
      <c r="BR48" s="8">
        <v>1.5943841999999999</v>
      </c>
      <c r="BS48" s="26">
        <v>2.9067653999999998E-2</v>
      </c>
      <c r="BT48" s="77">
        <v>1.4593202510000001</v>
      </c>
      <c r="BU48" s="77">
        <v>2.6224682439999998</v>
      </c>
      <c r="BV48" s="77">
        <v>1.4443201130000001</v>
      </c>
      <c r="BW48" s="68">
        <v>0.232689653</v>
      </c>
      <c r="BX48" s="582">
        <v>0.40999672199999998</v>
      </c>
      <c r="BY48" s="582">
        <v>6.8513091450000001</v>
      </c>
      <c r="BZ48" s="582">
        <v>13.35044727</v>
      </c>
      <c r="CA48" s="582">
        <v>8.7034300210000008</v>
      </c>
      <c r="CB48" s="582">
        <v>1.3242411169999999</v>
      </c>
    </row>
    <row r="49" spans="1:80" ht="15" customHeight="1" x14ac:dyDescent="0.3">
      <c r="A49" s="207" t="s">
        <v>181</v>
      </c>
      <c r="B49" s="295" t="s">
        <v>208</v>
      </c>
      <c r="C49" s="146" t="s">
        <v>301</v>
      </c>
      <c r="D49" s="146" t="s">
        <v>302</v>
      </c>
      <c r="E49" s="280" t="s">
        <v>186</v>
      </c>
      <c r="F49" s="280" t="s">
        <v>998</v>
      </c>
      <c r="G49" s="128" t="s">
        <v>215</v>
      </c>
      <c r="H49" s="279" t="s">
        <v>298</v>
      </c>
      <c r="J49" s="282" t="s">
        <v>192</v>
      </c>
      <c r="K49" s="281"/>
      <c r="L49" s="281"/>
      <c r="M49" s="465"/>
      <c r="N49" s="281"/>
      <c r="O49" s="281"/>
      <c r="P49" s="281"/>
      <c r="Q49" s="281"/>
      <c r="R49" s="281"/>
      <c r="S49" s="126"/>
      <c r="T49" s="54"/>
      <c r="U49" s="54"/>
      <c r="V49" s="54"/>
      <c r="W49" s="54"/>
      <c r="X49" s="54"/>
      <c r="Y49" s="54"/>
      <c r="Z49" s="54"/>
      <c r="AA49" s="54"/>
      <c r="AB49" s="54"/>
      <c r="AC49" s="54"/>
      <c r="AD49" s="54"/>
      <c r="AE49" s="54"/>
      <c r="AF49" s="54"/>
      <c r="AG49" s="54"/>
      <c r="AH49" s="54"/>
      <c r="AI49" s="54"/>
      <c r="AJ49" s="54"/>
      <c r="AK49" s="54"/>
      <c r="AL49" s="61">
        <v>94.239527304728185</v>
      </c>
      <c r="AM49" s="61">
        <v>4.0829753201389627</v>
      </c>
      <c r="AN49" s="61">
        <v>1.677497375132863</v>
      </c>
      <c r="AO49" s="62">
        <v>5.7604726952718259</v>
      </c>
      <c r="AP49" s="49"/>
      <c r="AQ49" s="49"/>
      <c r="AR49" s="49"/>
      <c r="AS49" s="49"/>
      <c r="AT49" s="49"/>
      <c r="AU49" s="49"/>
      <c r="AV49" s="49"/>
      <c r="AW49" s="49"/>
      <c r="AX49" s="49"/>
      <c r="AY49" s="49"/>
      <c r="AZ49" s="49"/>
      <c r="BA49" s="49"/>
      <c r="BB49" s="49"/>
      <c r="BC49" s="49"/>
      <c r="BD49" s="49"/>
      <c r="BE49" s="49"/>
      <c r="BF49" s="49"/>
      <c r="BG49" s="49"/>
      <c r="BH49" s="25">
        <v>95.699271869227474</v>
      </c>
      <c r="BI49" s="25">
        <v>2.6232307556396708</v>
      </c>
      <c r="BJ49" s="25">
        <v>1.6774973751328626</v>
      </c>
      <c r="BK49" s="24">
        <v>4.3007281307725336</v>
      </c>
      <c r="BL49" s="216" t="s">
        <v>1097</v>
      </c>
      <c r="BN49" s="8">
        <v>2.9067653999999998E-2</v>
      </c>
      <c r="BO49" s="8">
        <v>1.4593202510000001</v>
      </c>
      <c r="BP49" s="8">
        <v>2.6224682439999998</v>
      </c>
      <c r="BQ49" s="8">
        <v>1.4443201130000001</v>
      </c>
      <c r="BR49" s="8">
        <v>0.232689653</v>
      </c>
      <c r="BS49" s="26">
        <v>2.9067653999999998E-2</v>
      </c>
      <c r="BT49" s="77">
        <v>1.4593202510000001</v>
      </c>
      <c r="BU49" s="77">
        <v>2.6224682439999998</v>
      </c>
      <c r="BV49" s="77">
        <v>1.4443201130000001</v>
      </c>
      <c r="BW49" s="68">
        <v>0.232689653</v>
      </c>
      <c r="BX49" s="582">
        <v>1.9040004999999999E-2</v>
      </c>
      <c r="BY49" s="582">
        <v>0.82942215699999999</v>
      </c>
      <c r="BZ49" s="582">
        <v>1.432605586</v>
      </c>
      <c r="CA49" s="582">
        <v>0.77478447900000003</v>
      </c>
      <c r="CB49" s="582">
        <v>0.123031951</v>
      </c>
    </row>
    <row r="50" spans="1:80" ht="15" customHeight="1" x14ac:dyDescent="0.3">
      <c r="A50" s="207" t="s">
        <v>181</v>
      </c>
      <c r="B50" s="295" t="s">
        <v>208</v>
      </c>
      <c r="C50" s="146" t="s">
        <v>303</v>
      </c>
      <c r="D50" s="146" t="s">
        <v>304</v>
      </c>
      <c r="E50" s="280" t="s">
        <v>186</v>
      </c>
      <c r="F50" s="280" t="s">
        <v>998</v>
      </c>
      <c r="G50" s="128" t="s">
        <v>215</v>
      </c>
      <c r="H50" s="279" t="s">
        <v>298</v>
      </c>
      <c r="J50" s="282" t="s">
        <v>192</v>
      </c>
      <c r="K50" s="281"/>
      <c r="L50" s="281"/>
      <c r="M50" s="465"/>
      <c r="N50" s="281"/>
      <c r="O50" s="281"/>
      <c r="P50" s="281"/>
      <c r="Q50" s="281"/>
      <c r="R50" s="281"/>
      <c r="S50" s="126"/>
      <c r="T50" s="54"/>
      <c r="U50" s="54"/>
      <c r="V50" s="54"/>
      <c r="W50" s="54"/>
      <c r="X50" s="54"/>
      <c r="Y50" s="54"/>
      <c r="Z50" s="54"/>
      <c r="AA50" s="54"/>
      <c r="AB50" s="54"/>
      <c r="AC50" s="54"/>
      <c r="AD50" s="54"/>
      <c r="AE50" s="54"/>
      <c r="AF50" s="54"/>
      <c r="AG50" s="54"/>
      <c r="AH50" s="54"/>
      <c r="AI50" s="54"/>
      <c r="AJ50" s="54"/>
      <c r="AK50" s="54"/>
      <c r="AL50" s="61">
        <v>94.239527304728185</v>
      </c>
      <c r="AM50" s="61">
        <v>4.0829753201389627</v>
      </c>
      <c r="AN50" s="61">
        <v>1.677497375132863</v>
      </c>
      <c r="AO50" s="62">
        <v>5.7604726952718259</v>
      </c>
      <c r="AP50" s="49"/>
      <c r="AQ50" s="49"/>
      <c r="AR50" s="49"/>
      <c r="AS50" s="49"/>
      <c r="AT50" s="49"/>
      <c r="AU50" s="49"/>
      <c r="AV50" s="49"/>
      <c r="AW50" s="49"/>
      <c r="AX50" s="49"/>
      <c r="AY50" s="49"/>
      <c r="AZ50" s="49"/>
      <c r="BA50" s="49"/>
      <c r="BB50" s="49"/>
      <c r="BC50" s="49"/>
      <c r="BD50" s="49"/>
      <c r="BE50" s="49"/>
      <c r="BF50" s="49"/>
      <c r="BG50" s="49"/>
      <c r="BH50" s="25">
        <v>95.699271869227474</v>
      </c>
      <c r="BI50" s="25">
        <v>2.6232307556396708</v>
      </c>
      <c r="BJ50" s="25">
        <v>1.6774973751328626</v>
      </c>
      <c r="BK50" s="24">
        <v>4.3007281307725336</v>
      </c>
      <c r="BL50" s="216" t="s">
        <v>1097</v>
      </c>
      <c r="BN50" s="8">
        <v>2.9067653999999998E-2</v>
      </c>
      <c r="BO50" s="8">
        <v>1.4593202510000001</v>
      </c>
      <c r="BP50" s="8">
        <v>2.6224682439999998</v>
      </c>
      <c r="BQ50" s="8">
        <v>1.4443201130000001</v>
      </c>
      <c r="BR50" s="8">
        <v>0.232689653</v>
      </c>
      <c r="BS50" s="26" t="s">
        <v>220</v>
      </c>
      <c r="BT50" s="77" t="s">
        <v>220</v>
      </c>
      <c r="BU50" s="77" t="s">
        <v>220</v>
      </c>
      <c r="BV50" s="77" t="s">
        <v>220</v>
      </c>
      <c r="BW50" s="68" t="s">
        <v>220</v>
      </c>
      <c r="BX50" s="582">
        <v>0.73421686799999997</v>
      </c>
      <c r="BY50" s="582">
        <v>5.594691525</v>
      </c>
      <c r="BZ50" s="582">
        <v>11.615513290000001</v>
      </c>
      <c r="CA50" s="582">
        <v>9.4939075800000001</v>
      </c>
      <c r="CB50" s="582">
        <v>4.2239380879999997</v>
      </c>
    </row>
    <row r="51" spans="1:80" ht="15" customHeight="1" x14ac:dyDescent="0.3">
      <c r="A51" s="207" t="s">
        <v>181</v>
      </c>
      <c r="B51" s="295" t="s">
        <v>208</v>
      </c>
      <c r="C51" s="146" t="s">
        <v>305</v>
      </c>
      <c r="D51" s="146" t="s">
        <v>306</v>
      </c>
      <c r="E51" s="280" t="s">
        <v>186</v>
      </c>
      <c r="F51" s="280" t="s">
        <v>992</v>
      </c>
      <c r="G51" s="128" t="s">
        <v>211</v>
      </c>
      <c r="H51" s="279" t="s">
        <v>307</v>
      </c>
      <c r="J51" s="282" t="s">
        <v>188</v>
      </c>
      <c r="K51" s="281" t="s">
        <v>188</v>
      </c>
      <c r="L51" s="281"/>
      <c r="M51" s="465"/>
      <c r="N51" s="281"/>
      <c r="O51" s="281"/>
      <c r="P51" s="281"/>
      <c r="Q51" s="281"/>
      <c r="R51" s="281"/>
      <c r="S51" s="126"/>
      <c r="T51" s="54"/>
      <c r="U51" s="54"/>
      <c r="V51" s="54"/>
      <c r="W51" s="54"/>
      <c r="X51" s="54"/>
      <c r="Y51" s="54"/>
      <c r="Z51" s="54"/>
      <c r="AA51" s="54"/>
      <c r="AB51" s="54"/>
      <c r="AC51" s="54"/>
      <c r="AD51" s="54"/>
      <c r="AE51" s="54"/>
      <c r="AF51" s="54"/>
      <c r="AG51" s="54"/>
      <c r="AH51" s="54"/>
      <c r="AI51" s="54"/>
      <c r="AJ51" s="54"/>
      <c r="AK51" s="54"/>
      <c r="AL51" s="61">
        <v>90.530626021110606</v>
      </c>
      <c r="AM51" s="61">
        <v>4.8940911539486303</v>
      </c>
      <c r="AN51" s="61">
        <v>4.5752828249407509</v>
      </c>
      <c r="AO51" s="62">
        <v>9.4693739788893811</v>
      </c>
      <c r="AP51" s="49"/>
      <c r="AQ51" s="49"/>
      <c r="AR51" s="49"/>
      <c r="AS51" s="49"/>
      <c r="AT51" s="49"/>
      <c r="AU51" s="49"/>
      <c r="AV51" s="49"/>
      <c r="AW51" s="49"/>
      <c r="AX51" s="49"/>
      <c r="AY51" s="49"/>
      <c r="AZ51" s="49"/>
      <c r="BA51" s="49"/>
      <c r="BB51" s="49"/>
      <c r="BC51" s="49"/>
      <c r="BD51" s="49"/>
      <c r="BE51" s="49"/>
      <c r="BF51" s="49"/>
      <c r="BG51" s="49"/>
      <c r="BH51" s="25">
        <v>92.469961105781607</v>
      </c>
      <c r="BI51" s="25">
        <v>2.9547560692776562</v>
      </c>
      <c r="BJ51" s="25">
        <v>4.57528282494075</v>
      </c>
      <c r="BK51" s="24">
        <v>7.5300388942184062</v>
      </c>
      <c r="BL51" s="216" t="s">
        <v>92</v>
      </c>
      <c r="BN51" s="582">
        <v>0.71524950899999995</v>
      </c>
      <c r="BO51" s="582">
        <v>1.9254640000000001</v>
      </c>
      <c r="BP51" s="582">
        <v>2.933622191</v>
      </c>
      <c r="BQ51" s="582">
        <v>2.6596674579999999</v>
      </c>
      <c r="BR51" s="582">
        <v>1.882890679</v>
      </c>
      <c r="BS51" s="26" t="s">
        <v>220</v>
      </c>
      <c r="BT51" s="77" t="s">
        <v>220</v>
      </c>
      <c r="BU51" s="77" t="s">
        <v>220</v>
      </c>
      <c r="BV51" s="77" t="s">
        <v>220</v>
      </c>
      <c r="BW51" s="68" t="s">
        <v>220</v>
      </c>
      <c r="BX51" s="582">
        <v>0.71524950899999995</v>
      </c>
      <c r="BY51" s="582">
        <v>1.9254640000000001</v>
      </c>
      <c r="BZ51" s="582">
        <v>2.933622191</v>
      </c>
      <c r="CA51" s="582">
        <v>2.6596674579999999</v>
      </c>
      <c r="CB51" s="582">
        <v>1.882890679</v>
      </c>
    </row>
    <row r="52" spans="1:80" ht="15" customHeight="1" x14ac:dyDescent="0.3">
      <c r="A52" s="207" t="s">
        <v>181</v>
      </c>
      <c r="B52" s="295" t="s">
        <v>208</v>
      </c>
      <c r="C52" s="146" t="s">
        <v>308</v>
      </c>
      <c r="D52" s="146" t="s">
        <v>309</v>
      </c>
      <c r="E52" s="280" t="s">
        <v>704</v>
      </c>
      <c r="F52" s="128" t="s">
        <v>882</v>
      </c>
      <c r="G52" s="128" t="s">
        <v>215</v>
      </c>
      <c r="H52" s="279" t="s">
        <v>307</v>
      </c>
      <c r="J52" s="282" t="s">
        <v>192</v>
      </c>
      <c r="K52" s="281" t="s">
        <v>188</v>
      </c>
      <c r="L52" s="281"/>
      <c r="M52" s="465"/>
      <c r="N52" s="281"/>
      <c r="O52" s="281"/>
      <c r="P52" s="281"/>
      <c r="Q52" s="281"/>
      <c r="R52" s="281"/>
      <c r="S52" s="126"/>
      <c r="T52" s="54"/>
      <c r="U52" s="54"/>
      <c r="V52" s="54"/>
      <c r="W52" s="54"/>
      <c r="X52" s="54"/>
      <c r="Y52" s="54"/>
      <c r="Z52" s="54"/>
      <c r="AA52" s="54"/>
      <c r="AB52" s="54"/>
      <c r="AC52" s="54"/>
      <c r="AD52" s="54"/>
      <c r="AE52" s="54"/>
      <c r="AF52" s="54"/>
      <c r="AG52" s="54"/>
      <c r="AH52" s="54"/>
      <c r="AI52" s="54"/>
      <c r="AJ52" s="54"/>
      <c r="AK52" s="54"/>
      <c r="AL52" s="61">
        <v>50.109846900999997</v>
      </c>
      <c r="AM52" s="61">
        <v>19.436408259</v>
      </c>
      <c r="AN52" s="61">
        <v>30.453744839999999</v>
      </c>
      <c r="AO52" s="62">
        <v>49.890153099000003</v>
      </c>
      <c r="AP52" s="49"/>
      <c r="AQ52" s="49"/>
      <c r="AR52" s="49"/>
      <c r="AS52" s="49"/>
      <c r="AT52" s="49"/>
      <c r="AU52" s="49"/>
      <c r="AV52" s="49"/>
      <c r="AW52" s="49"/>
      <c r="AX52" s="49"/>
      <c r="AY52" s="49"/>
      <c r="AZ52" s="49"/>
      <c r="BA52" s="49"/>
      <c r="BB52" s="49"/>
      <c r="BC52" s="49"/>
      <c r="BD52" s="49"/>
      <c r="BE52" s="49"/>
      <c r="BF52" s="49"/>
      <c r="BG52" s="49"/>
      <c r="BH52" s="25">
        <v>60.942720471000001</v>
      </c>
      <c r="BI52" s="25">
        <v>8.603534689</v>
      </c>
      <c r="BJ52" s="25">
        <v>30.453744839999995</v>
      </c>
      <c r="BK52" s="24">
        <v>39.057279528999999</v>
      </c>
      <c r="BL52" s="216" t="s">
        <v>92</v>
      </c>
      <c r="BN52" s="582">
        <v>0</v>
      </c>
      <c r="BO52" s="582">
        <v>10.83287357</v>
      </c>
      <c r="BP52" s="582">
        <v>8.603534689</v>
      </c>
      <c r="BQ52" s="582">
        <v>10.48931685</v>
      </c>
      <c r="BR52" s="582">
        <v>19.964427990000001</v>
      </c>
      <c r="BS52" s="26">
        <v>0.92276144999999998</v>
      </c>
      <c r="BT52" s="77">
        <v>6.2601469600000001</v>
      </c>
      <c r="BU52" s="77">
        <v>11.46145168</v>
      </c>
      <c r="BV52" s="77">
        <v>9.2818349019999999</v>
      </c>
      <c r="BW52" s="68">
        <v>4.3213410520000002</v>
      </c>
      <c r="BX52" s="582">
        <v>0</v>
      </c>
      <c r="BY52" s="582">
        <v>10.83287357</v>
      </c>
      <c r="BZ52" s="582">
        <v>8.603534689</v>
      </c>
      <c r="CA52" s="582">
        <v>10.48931685</v>
      </c>
      <c r="CB52" s="582">
        <v>19.964427990000001</v>
      </c>
    </row>
    <row r="53" spans="1:80" ht="15" customHeight="1" x14ac:dyDescent="0.3">
      <c r="A53" s="207" t="s">
        <v>181</v>
      </c>
      <c r="B53" s="295" t="s">
        <v>208</v>
      </c>
      <c r="C53" s="146" t="s">
        <v>310</v>
      </c>
      <c r="D53" s="146" t="s">
        <v>311</v>
      </c>
      <c r="E53" s="280" t="s">
        <v>186</v>
      </c>
      <c r="F53" s="280" t="s">
        <v>992</v>
      </c>
      <c r="G53" s="128" t="s">
        <v>185</v>
      </c>
      <c r="H53" s="279"/>
      <c r="J53" s="129" t="s">
        <v>188</v>
      </c>
      <c r="K53" s="135" t="s">
        <v>188</v>
      </c>
      <c r="L53" s="135"/>
      <c r="M53" s="461"/>
      <c r="N53" s="135"/>
      <c r="O53" s="135"/>
      <c r="P53" s="135"/>
      <c r="Q53" s="135"/>
      <c r="R53" s="135"/>
      <c r="S53" s="126"/>
      <c r="AL53" s="61">
        <v>68.383480350845929</v>
      </c>
      <c r="AM53" s="61">
        <v>17.886649748576382</v>
      </c>
      <c r="AN53" s="61">
        <v>13.729869900577684</v>
      </c>
      <c r="AO53" s="62">
        <v>31.616519649154064</v>
      </c>
      <c r="BH53" s="25">
        <v>74.701931542681251</v>
      </c>
      <c r="BI53" s="25">
        <v>11.568198556741063</v>
      </c>
      <c r="BJ53" s="25">
        <v>13.729869900577684</v>
      </c>
      <c r="BK53" s="24">
        <v>25.298068457318749</v>
      </c>
      <c r="BL53" s="216" t="s">
        <v>1097</v>
      </c>
      <c r="BN53" s="8">
        <v>0.92276144999999998</v>
      </c>
      <c r="BO53" s="8">
        <v>6.2601469600000001</v>
      </c>
      <c r="BP53" s="8">
        <v>11.46145168</v>
      </c>
      <c r="BQ53" s="8">
        <v>9.2818349019999999</v>
      </c>
      <c r="BR53" s="8">
        <v>4.3213410520000002</v>
      </c>
      <c r="BS53" s="26" t="s">
        <v>220</v>
      </c>
      <c r="BT53" s="77" t="s">
        <v>220</v>
      </c>
      <c r="BU53" s="77" t="s">
        <v>220</v>
      </c>
      <c r="BV53" s="77" t="s">
        <v>220</v>
      </c>
      <c r="BW53" s="68" t="s">
        <v>220</v>
      </c>
      <c r="BX53" s="582">
        <v>1.1339566729999999</v>
      </c>
      <c r="BY53" s="582">
        <v>8.8202277280000008</v>
      </c>
      <c r="BZ53" s="582">
        <v>17.870491220000002</v>
      </c>
      <c r="CA53" s="582">
        <v>13.460374720000001</v>
      </c>
      <c r="CB53" s="582">
        <v>5.6481494830000001</v>
      </c>
    </row>
    <row r="54" spans="1:80" ht="15" customHeight="1" x14ac:dyDescent="0.3">
      <c r="A54" s="207" t="s">
        <v>181</v>
      </c>
      <c r="B54" s="295" t="s">
        <v>208</v>
      </c>
      <c r="C54" s="146" t="s">
        <v>312</v>
      </c>
      <c r="D54" s="146" t="s">
        <v>313</v>
      </c>
      <c r="E54" s="280" t="s">
        <v>186</v>
      </c>
      <c r="F54" s="280" t="s">
        <v>992</v>
      </c>
      <c r="G54" s="128" t="s">
        <v>185</v>
      </c>
      <c r="H54" s="279"/>
      <c r="J54" s="129" t="s">
        <v>188</v>
      </c>
      <c r="K54" s="135" t="s">
        <v>188</v>
      </c>
      <c r="L54" s="135"/>
      <c r="M54" s="461"/>
      <c r="N54" s="135"/>
      <c r="O54" s="135"/>
      <c r="P54" s="135"/>
      <c r="Q54" s="135"/>
      <c r="R54" s="135"/>
      <c r="S54" s="126"/>
      <c r="AL54" s="61">
        <v>78.141669038116859</v>
      </c>
      <c r="AM54" s="61">
        <v>11.579940951809728</v>
      </c>
      <c r="AN54" s="61">
        <v>10.27839001007341</v>
      </c>
      <c r="AO54" s="62">
        <v>21.858330961883141</v>
      </c>
      <c r="BH54" s="25">
        <v>82.529681285608632</v>
      </c>
      <c r="BI54" s="25">
        <v>7.1919287043179656</v>
      </c>
      <c r="BJ54" s="25">
        <v>10.27839001007341</v>
      </c>
      <c r="BK54" s="24">
        <v>17.470318714391375</v>
      </c>
      <c r="BL54" s="216" t="s">
        <v>92</v>
      </c>
      <c r="BN54" s="582">
        <v>1.5799133999999999</v>
      </c>
      <c r="BO54" s="582">
        <v>4.3186854539999997</v>
      </c>
      <c r="BP54" s="582">
        <v>7.0783024589999997</v>
      </c>
      <c r="BQ54" s="582">
        <v>6.3499050219999997</v>
      </c>
      <c r="BR54" s="582">
        <v>3.7660953269999999</v>
      </c>
      <c r="BS54" s="26">
        <v>0.20440330200000001</v>
      </c>
      <c r="BT54" s="77">
        <v>3.2041772279999998</v>
      </c>
      <c r="BU54" s="77">
        <v>8.3958484349999996</v>
      </c>
      <c r="BV54" s="77">
        <v>7.2475833449999998</v>
      </c>
      <c r="BW54" s="68">
        <v>2.2168818259999998</v>
      </c>
      <c r="BX54" s="582">
        <v>1.5799133999999999</v>
      </c>
      <c r="BY54" s="582">
        <v>4.3186854539999997</v>
      </c>
      <c r="BZ54" s="582">
        <v>7.0783024589999997</v>
      </c>
      <c r="CA54" s="582">
        <v>6.3499050219999997</v>
      </c>
      <c r="CB54" s="582">
        <v>3.7660953269999999</v>
      </c>
    </row>
    <row r="55" spans="1:80" ht="15" customHeight="1" x14ac:dyDescent="0.3">
      <c r="A55" s="207" t="s">
        <v>181</v>
      </c>
      <c r="B55" s="295" t="s">
        <v>208</v>
      </c>
      <c r="C55" s="146" t="s">
        <v>316</v>
      </c>
      <c r="D55" s="146" t="s">
        <v>317</v>
      </c>
      <c r="E55" s="280" t="s">
        <v>186</v>
      </c>
      <c r="F55" s="280" t="s">
        <v>992</v>
      </c>
      <c r="G55" s="128" t="s">
        <v>185</v>
      </c>
      <c r="H55" s="279"/>
      <c r="J55" s="129" t="s">
        <v>188</v>
      </c>
      <c r="K55" s="135" t="s">
        <v>188</v>
      </c>
      <c r="L55" s="135"/>
      <c r="M55" s="461"/>
      <c r="N55" s="135"/>
      <c r="O55" s="135"/>
      <c r="P55" s="135"/>
      <c r="Q55" s="135"/>
      <c r="R55" s="135"/>
      <c r="S55" s="126"/>
      <c r="AL55" s="61">
        <v>65.583792100630859</v>
      </c>
      <c r="AM55" s="61">
        <v>17.106304066691425</v>
      </c>
      <c r="AN55" s="61">
        <v>17.309903832677715</v>
      </c>
      <c r="AO55" s="62">
        <v>34.416207899369141</v>
      </c>
      <c r="BH55" s="25">
        <v>71.668302597592856</v>
      </c>
      <c r="BI55" s="25">
        <v>11.021793569729429</v>
      </c>
      <c r="BJ55" s="25">
        <v>17.309903832677715</v>
      </c>
      <c r="BK55" s="24">
        <v>28.331697402407144</v>
      </c>
      <c r="BL55" s="216" t="s">
        <v>92</v>
      </c>
      <c r="BN55" s="582">
        <v>1.5543357680000001</v>
      </c>
      <c r="BO55" s="582">
        <v>5.9899367740000002</v>
      </c>
      <c r="BP55" s="582">
        <v>10.850477890000001</v>
      </c>
      <c r="BQ55" s="582">
        <v>10.249007499999999</v>
      </c>
      <c r="BR55" s="582">
        <v>6.7918423060000004</v>
      </c>
      <c r="BS55" s="26">
        <v>9.1292268999999995E-2</v>
      </c>
      <c r="BT55" s="77">
        <v>4.8464650020000004</v>
      </c>
      <c r="BU55" s="77">
        <v>4.7745800269999998</v>
      </c>
      <c r="BV55" s="77">
        <v>2.6418820529999998</v>
      </c>
      <c r="BW55" s="68">
        <v>0.65215114600000001</v>
      </c>
      <c r="BX55" s="582">
        <v>1.5543357680000001</v>
      </c>
      <c r="BY55" s="582">
        <v>5.9899367740000002</v>
      </c>
      <c r="BZ55" s="582">
        <v>10.850477890000001</v>
      </c>
      <c r="CA55" s="582">
        <v>10.249007499999999</v>
      </c>
      <c r="CB55" s="582">
        <v>6.7918423060000004</v>
      </c>
    </row>
    <row r="56" spans="1:80" ht="15" customHeight="1" x14ac:dyDescent="0.3">
      <c r="A56" s="207" t="s">
        <v>181</v>
      </c>
      <c r="B56" s="295" t="s">
        <v>208</v>
      </c>
      <c r="C56" s="146" t="s">
        <v>318</v>
      </c>
      <c r="D56" s="295" t="s">
        <v>319</v>
      </c>
      <c r="E56" s="280" t="s">
        <v>186</v>
      </c>
      <c r="F56" s="280" t="s">
        <v>996</v>
      </c>
      <c r="G56" s="281" t="s">
        <v>185</v>
      </c>
      <c r="H56" s="279" t="s">
        <v>320</v>
      </c>
      <c r="I56" s="128" t="s">
        <v>187</v>
      </c>
      <c r="J56" s="154" t="s">
        <v>187</v>
      </c>
      <c r="K56" s="199" t="s">
        <v>187</v>
      </c>
      <c r="L56" s="199"/>
      <c r="M56" s="462" t="s">
        <v>187</v>
      </c>
      <c r="N56" s="199"/>
      <c r="O56" s="199"/>
      <c r="P56" s="199"/>
      <c r="Q56" s="199"/>
      <c r="R56" s="199"/>
      <c r="S56" s="126"/>
      <c r="T56" s="55"/>
      <c r="U56" s="55"/>
      <c r="V56" s="55"/>
      <c r="W56" s="55"/>
      <c r="X56" s="55"/>
      <c r="Y56" s="55"/>
      <c r="Z56" s="55"/>
      <c r="AA56" s="55"/>
      <c r="AB56" s="55"/>
      <c r="AC56" s="55"/>
      <c r="AD56" s="55"/>
      <c r="AE56" s="55"/>
      <c r="AF56" s="55"/>
      <c r="AG56" s="55"/>
      <c r="AH56" s="55"/>
      <c r="AI56" s="55"/>
      <c r="AJ56" s="55"/>
      <c r="AK56" s="55"/>
      <c r="AL56" s="61">
        <v>87.073120530421335</v>
      </c>
      <c r="AM56" s="61">
        <v>9.6298363250821541</v>
      </c>
      <c r="AN56" s="61">
        <v>3.2970431444965196</v>
      </c>
      <c r="AO56" s="62">
        <v>12.926879469578674</v>
      </c>
      <c r="AP56" s="52"/>
      <c r="AQ56" s="52"/>
      <c r="AR56" s="52"/>
      <c r="AS56" s="52"/>
      <c r="AT56" s="52"/>
      <c r="AU56" s="52"/>
      <c r="AV56" s="52"/>
      <c r="AW56" s="52"/>
      <c r="AX56" s="52"/>
      <c r="AY56" s="52"/>
      <c r="AZ56" s="52"/>
      <c r="BA56" s="52"/>
      <c r="BB56" s="52"/>
      <c r="BC56" s="52"/>
      <c r="BD56" s="52"/>
      <c r="BE56" s="52"/>
      <c r="BF56" s="52"/>
      <c r="BG56" s="52"/>
      <c r="BH56" s="25">
        <v>91.924014023157625</v>
      </c>
      <c r="BI56" s="25">
        <v>4.7789428323458605</v>
      </c>
      <c r="BJ56" s="25">
        <v>3.2970431444965191</v>
      </c>
      <c r="BK56" s="24">
        <v>8.0759859768423787</v>
      </c>
      <c r="BL56" s="216" t="s">
        <v>1097</v>
      </c>
      <c r="BN56" s="8">
        <v>9.1292268999999995E-2</v>
      </c>
      <c r="BO56" s="8">
        <v>4.8464650020000004</v>
      </c>
      <c r="BP56" s="8">
        <v>4.7745800269999998</v>
      </c>
      <c r="BQ56" s="8">
        <v>2.6418820529999998</v>
      </c>
      <c r="BR56" s="8">
        <v>0.65215114600000001</v>
      </c>
      <c r="BS56" s="26">
        <v>0.28997454499999997</v>
      </c>
      <c r="BT56" s="77">
        <v>9.6022177279999994</v>
      </c>
      <c r="BU56" s="77">
        <v>17.502024890000001</v>
      </c>
      <c r="BV56" s="77">
        <v>12.094939800000001</v>
      </c>
      <c r="BW56" s="68">
        <v>2.334661783</v>
      </c>
      <c r="BX56" s="582">
        <v>8.8640504999999994E-2</v>
      </c>
      <c r="BY56" s="582">
        <v>4.1266486179999999</v>
      </c>
      <c r="BZ56" s="582">
        <v>4.0201761410000003</v>
      </c>
      <c r="CA56" s="582">
        <v>2.202765608</v>
      </c>
      <c r="CB56" s="582">
        <v>0.54559795099999997</v>
      </c>
    </row>
    <row r="57" spans="1:80" ht="15" customHeight="1" x14ac:dyDescent="0.3">
      <c r="A57" s="207" t="s">
        <v>181</v>
      </c>
      <c r="B57" s="295" t="s">
        <v>208</v>
      </c>
      <c r="C57" s="146" t="s">
        <v>321</v>
      </c>
      <c r="D57" s="146" t="s">
        <v>322</v>
      </c>
      <c r="E57" s="280" t="s">
        <v>186</v>
      </c>
      <c r="F57" s="280" t="s">
        <v>992</v>
      </c>
      <c r="G57" s="128" t="s">
        <v>185</v>
      </c>
      <c r="H57" s="279"/>
      <c r="J57" s="129" t="s">
        <v>188</v>
      </c>
      <c r="K57" s="135" t="s">
        <v>188</v>
      </c>
      <c r="L57" s="135"/>
      <c r="M57" s="461"/>
      <c r="N57" s="135"/>
      <c r="O57" s="135"/>
      <c r="P57" s="135"/>
      <c r="Q57" s="135"/>
      <c r="R57" s="135"/>
      <c r="S57" s="126"/>
      <c r="AL57" s="61">
        <v>58.345367969297541</v>
      </c>
      <c r="AM57" s="61">
        <v>27.183066591666233</v>
      </c>
      <c r="AN57" s="61">
        <v>14.471565439036224</v>
      </c>
      <c r="AO57" s="62">
        <v>41.654632030702459</v>
      </c>
      <c r="BH57" s="25">
        <v>67.975510659747016</v>
      </c>
      <c r="BI57" s="25">
        <v>17.552923901216751</v>
      </c>
      <c r="BJ57" s="25">
        <v>14.471565439036224</v>
      </c>
      <c r="BK57" s="24">
        <v>32.024489340252977</v>
      </c>
      <c r="BL57" s="216" t="s">
        <v>1097</v>
      </c>
      <c r="BN57" s="8">
        <v>0.28997454499999997</v>
      </c>
      <c r="BO57" s="8">
        <v>9.6022177279999994</v>
      </c>
      <c r="BP57" s="8">
        <v>17.502024890000001</v>
      </c>
      <c r="BQ57" s="8">
        <v>12.094939800000001</v>
      </c>
      <c r="BR57" s="8">
        <v>2.334661783</v>
      </c>
      <c r="BS57" s="26" t="s">
        <v>220</v>
      </c>
      <c r="BT57" s="77" t="s">
        <v>220</v>
      </c>
      <c r="BU57" s="77" t="s">
        <v>220</v>
      </c>
      <c r="BV57" s="77" t="s">
        <v>220</v>
      </c>
      <c r="BW57" s="68" t="s">
        <v>220</v>
      </c>
      <c r="BX57" s="582">
        <v>0.51003188399999999</v>
      </c>
      <c r="BY57" s="582">
        <v>8.4720655370000006</v>
      </c>
      <c r="BZ57" s="582">
        <v>15.72943761</v>
      </c>
      <c r="CA57" s="582">
        <v>10.89033298</v>
      </c>
      <c r="CB57" s="582">
        <v>1.9755188699999999</v>
      </c>
    </row>
    <row r="58" spans="1:80" ht="15" customHeight="1" x14ac:dyDescent="0.3">
      <c r="A58" s="207" t="s">
        <v>181</v>
      </c>
      <c r="B58" s="295" t="s">
        <v>208</v>
      </c>
      <c r="C58" s="146" t="s">
        <v>323</v>
      </c>
      <c r="D58" s="295" t="s">
        <v>324</v>
      </c>
      <c r="E58" s="280" t="s">
        <v>200</v>
      </c>
      <c r="F58" s="280" t="s">
        <v>883</v>
      </c>
      <c r="G58" s="281" t="s">
        <v>185</v>
      </c>
      <c r="H58" s="279"/>
      <c r="I58" s="128" t="s">
        <v>187</v>
      </c>
      <c r="J58" s="154" t="s">
        <v>227</v>
      </c>
      <c r="K58" s="199" t="s">
        <v>266</v>
      </c>
      <c r="L58" s="199" t="s">
        <v>266</v>
      </c>
      <c r="M58" s="462"/>
      <c r="N58" s="199"/>
      <c r="O58" s="424" t="s">
        <v>974</v>
      </c>
      <c r="P58" s="199"/>
      <c r="Q58" s="199"/>
      <c r="R58" s="199"/>
      <c r="S58" s="126"/>
      <c r="T58" s="55"/>
      <c r="U58" s="55"/>
      <c r="V58" s="55"/>
      <c r="W58" s="55"/>
      <c r="X58" s="55"/>
      <c r="Y58" s="55"/>
      <c r="Z58" s="55"/>
      <c r="AA58" s="55"/>
      <c r="AB58" s="55"/>
      <c r="AC58" s="55"/>
      <c r="AD58" s="55"/>
      <c r="AE58" s="55"/>
      <c r="AF58" s="55"/>
      <c r="AG58" s="55"/>
      <c r="AH58" s="55"/>
      <c r="AI58" s="55"/>
      <c r="AJ58" s="55"/>
      <c r="AK58" s="55"/>
      <c r="AL58" s="61">
        <v>41.751669183859846</v>
      </c>
      <c r="AM58" s="61">
        <v>27.961637836319593</v>
      </c>
      <c r="AN58" s="61">
        <v>30.286692979820558</v>
      </c>
      <c r="AO58" s="62">
        <v>58.248330816140154</v>
      </c>
      <c r="AP58" s="114">
        <v>-12.384952904583699</v>
      </c>
      <c r="AQ58" s="114">
        <v>-20.033359087334915</v>
      </c>
      <c r="AR58" s="114">
        <v>-3.6876177375310135</v>
      </c>
      <c r="AS58" s="31">
        <v>-13.779745320425846</v>
      </c>
      <c r="AT58" s="31">
        <v>-40.743557925034132</v>
      </c>
      <c r="AU58" s="115">
        <v>5.5215953131653777</v>
      </c>
      <c r="AV58" s="290">
        <v>-13.682991914304679</v>
      </c>
      <c r="AW58" s="290">
        <v>-40.896385353090579</v>
      </c>
      <c r="AX58" s="290">
        <v>9.5097213978767741</v>
      </c>
      <c r="AY58" s="56">
        <v>0</v>
      </c>
      <c r="AZ58" s="56">
        <v>0</v>
      </c>
      <c r="BA58" s="56">
        <v>0</v>
      </c>
      <c r="BB58" s="57">
        <v>-3</v>
      </c>
      <c r="BC58" s="57">
        <v>-31.611111111111114</v>
      </c>
      <c r="BD58" s="57">
        <v>10.414682539682545</v>
      </c>
      <c r="BE58" s="58">
        <v>-8.125</v>
      </c>
      <c r="BF58" s="58">
        <v>-37.519841269841265</v>
      </c>
      <c r="BG58" s="58">
        <v>13.055555555555557</v>
      </c>
      <c r="BH58" s="25">
        <v>45.453223232149156</v>
      </c>
      <c r="BI58" s="25">
        <v>24.260083788030286</v>
      </c>
      <c r="BJ58" s="25">
        <v>30.286692979820561</v>
      </c>
      <c r="BK58" s="24">
        <v>54.546776767850844</v>
      </c>
      <c r="BL58" s="216" t="s">
        <v>92</v>
      </c>
      <c r="BN58" s="582">
        <v>1.147608889</v>
      </c>
      <c r="BO58" s="582">
        <v>3.6590746850000002</v>
      </c>
      <c r="BP58" s="582">
        <v>23.98167291</v>
      </c>
      <c r="BQ58" s="582">
        <v>28.42826354</v>
      </c>
      <c r="BR58" s="582">
        <v>1.5108566590000001</v>
      </c>
      <c r="BS58" s="26">
        <v>0.41030522899999999</v>
      </c>
      <c r="BT58" s="77">
        <v>8.496962924</v>
      </c>
      <c r="BU58" s="77">
        <v>15.547836050000001</v>
      </c>
      <c r="BV58" s="77">
        <v>10.082524100000001</v>
      </c>
      <c r="BW58" s="68">
        <v>1.568416107</v>
      </c>
      <c r="BX58" s="582">
        <v>1.147608889</v>
      </c>
      <c r="BY58" s="582">
        <v>3.6590746850000002</v>
      </c>
      <c r="BZ58" s="582">
        <v>23.98167291</v>
      </c>
      <c r="CA58" s="582">
        <v>28.42826354</v>
      </c>
      <c r="CB58" s="582">
        <v>1.5108566590000001</v>
      </c>
    </row>
    <row r="59" spans="1:80" x14ac:dyDescent="0.3">
      <c r="A59" s="207" t="s">
        <v>181</v>
      </c>
      <c r="B59" s="295" t="s">
        <v>208</v>
      </c>
      <c r="C59" s="146" t="s">
        <v>325</v>
      </c>
      <c r="D59" s="146" t="s">
        <v>326</v>
      </c>
      <c r="E59" s="280" t="s">
        <v>186</v>
      </c>
      <c r="F59" s="280" t="s">
        <v>992</v>
      </c>
      <c r="G59" s="128" t="s">
        <v>185</v>
      </c>
      <c r="H59" s="279"/>
      <c r="J59" s="129" t="s">
        <v>188</v>
      </c>
      <c r="K59" s="135" t="s">
        <v>188</v>
      </c>
      <c r="L59" s="135"/>
      <c r="M59" s="461"/>
      <c r="N59" s="135"/>
      <c r="O59" s="135"/>
      <c r="P59" s="135"/>
      <c r="Q59" s="135"/>
      <c r="R59" s="135"/>
      <c r="S59" s="126"/>
      <c r="AL59" s="61">
        <v>64.157195919638042</v>
      </c>
      <c r="AM59" s="61">
        <v>24.143862504337871</v>
      </c>
      <c r="AN59" s="61">
        <v>11.698941576024083</v>
      </c>
      <c r="AO59" s="62">
        <v>35.842804080361958</v>
      </c>
      <c r="BH59" s="25">
        <v>72.689165962862106</v>
      </c>
      <c r="BI59" s="25">
        <v>15.611892461113808</v>
      </c>
      <c r="BJ59" s="25">
        <v>11.698941576024085</v>
      </c>
      <c r="BK59" s="24">
        <v>27.310834037137894</v>
      </c>
      <c r="BL59" s="216" t="s">
        <v>1097</v>
      </c>
      <c r="BN59" s="8">
        <v>0.41030522899999999</v>
      </c>
      <c r="BO59" s="8">
        <v>8.496962924</v>
      </c>
      <c r="BP59" s="8">
        <v>15.547836050000001</v>
      </c>
      <c r="BQ59" s="8">
        <v>10.082524100000001</v>
      </c>
      <c r="BR59" s="8">
        <v>1.568416107</v>
      </c>
      <c r="BS59" s="26">
        <v>2.0769715000000001E-2</v>
      </c>
      <c r="BT59" s="77">
        <v>9.9584788619999998</v>
      </c>
      <c r="BU59" s="77">
        <v>6.330671089</v>
      </c>
      <c r="BV59" s="77">
        <v>7.7604929030000003</v>
      </c>
      <c r="BW59" s="68">
        <v>1.8901741169999999</v>
      </c>
      <c r="BX59" s="582">
        <v>0.38738683400000001</v>
      </c>
      <c r="BY59" s="582">
        <v>7.59371419</v>
      </c>
      <c r="BZ59" s="582">
        <v>14.513733419999999</v>
      </c>
      <c r="CA59" s="582">
        <v>9.3232207799999998</v>
      </c>
      <c r="CB59" s="582">
        <v>1.3709016730000001</v>
      </c>
    </row>
    <row r="60" spans="1:80" ht="19.2" customHeight="1" x14ac:dyDescent="0.3">
      <c r="A60" s="207" t="s">
        <v>181</v>
      </c>
      <c r="B60" s="295" t="s">
        <v>208</v>
      </c>
      <c r="C60" s="146" t="s">
        <v>327</v>
      </c>
      <c r="D60" s="295" t="s">
        <v>328</v>
      </c>
      <c r="E60" s="280" t="s">
        <v>186</v>
      </c>
      <c r="F60" s="280" t="s">
        <v>992</v>
      </c>
      <c r="G60" s="281" t="s">
        <v>211</v>
      </c>
      <c r="H60" s="279" t="s">
        <v>329</v>
      </c>
      <c r="J60" s="154" t="s">
        <v>188</v>
      </c>
      <c r="K60" s="199" t="s">
        <v>188</v>
      </c>
      <c r="L60" s="199"/>
      <c r="M60" s="462"/>
      <c r="N60" s="199"/>
      <c r="O60" s="199"/>
      <c r="P60" s="199"/>
      <c r="Q60" s="199"/>
      <c r="R60" s="199"/>
      <c r="S60" s="126"/>
      <c r="T60" s="53"/>
      <c r="U60" s="53"/>
      <c r="V60" s="53"/>
      <c r="W60" s="53"/>
      <c r="X60" s="53"/>
      <c r="Y60" s="53"/>
      <c r="Z60" s="53"/>
      <c r="AA60" s="53"/>
      <c r="AB60" s="53"/>
      <c r="AC60" s="53"/>
      <c r="AD60" s="53"/>
      <c r="AE60" s="53"/>
      <c r="AF60" s="53"/>
      <c r="AG60" s="53"/>
      <c r="AH60" s="53"/>
      <c r="AI60" s="53"/>
      <c r="AJ60" s="53"/>
      <c r="AK60" s="53"/>
      <c r="AL60" s="61">
        <v>72.436667037063287</v>
      </c>
      <c r="AM60" s="61">
        <v>16.199268399902284</v>
      </c>
      <c r="AN60" s="61">
        <v>11.364064563034429</v>
      </c>
      <c r="AO60" s="62">
        <v>27.563332962936713</v>
      </c>
      <c r="AP60" s="50"/>
      <c r="AQ60" s="50"/>
      <c r="AR60" s="50"/>
      <c r="AS60" s="50"/>
      <c r="AT60" s="50"/>
      <c r="AU60" s="50"/>
      <c r="AV60" s="50"/>
      <c r="AW60" s="50"/>
      <c r="AX60" s="50"/>
      <c r="AY60" s="50"/>
      <c r="AZ60" s="50"/>
      <c r="BA60" s="50"/>
      <c r="BB60" s="50"/>
      <c r="BC60" s="50"/>
      <c r="BD60" s="50"/>
      <c r="BE60" s="50"/>
      <c r="BF60" s="50"/>
      <c r="BG60" s="50"/>
      <c r="BH60" s="25">
        <v>78.004929659393298</v>
      </c>
      <c r="BI60" s="25">
        <v>10.631005777572264</v>
      </c>
      <c r="BJ60" s="25">
        <v>11.364064563034431</v>
      </c>
      <c r="BK60" s="24">
        <v>21.995070340606695</v>
      </c>
      <c r="BL60" s="216" t="s">
        <v>92</v>
      </c>
      <c r="BN60" s="582">
        <v>0.61896351999999999</v>
      </c>
      <c r="BO60" s="582">
        <v>5.5337971079999999</v>
      </c>
      <c r="BP60" s="582">
        <v>10.56520373</v>
      </c>
      <c r="BQ60" s="582">
        <v>8.1262853629999992</v>
      </c>
      <c r="BR60" s="582">
        <v>3.1674397860000001</v>
      </c>
      <c r="BS60" s="26" t="s">
        <v>220</v>
      </c>
      <c r="BT60" s="77" t="s">
        <v>220</v>
      </c>
      <c r="BU60" s="77" t="s">
        <v>220</v>
      </c>
      <c r="BV60" s="77" t="s">
        <v>220</v>
      </c>
      <c r="BW60" s="68" t="s">
        <v>220</v>
      </c>
      <c r="BX60" s="582">
        <v>0.61896351999999999</v>
      </c>
      <c r="BY60" s="582">
        <v>5.5337971079999999</v>
      </c>
      <c r="BZ60" s="582">
        <v>10.56520373</v>
      </c>
      <c r="CA60" s="582">
        <v>8.1262853629999992</v>
      </c>
      <c r="CB60" s="582">
        <v>3.1674397860000001</v>
      </c>
    </row>
    <row r="61" spans="1:80" x14ac:dyDescent="0.3">
      <c r="A61" s="207" t="s">
        <v>181</v>
      </c>
      <c r="B61" s="295" t="s">
        <v>208</v>
      </c>
      <c r="C61" s="146" t="s">
        <v>330</v>
      </c>
      <c r="D61" s="295" t="s">
        <v>331</v>
      </c>
      <c r="E61" s="280" t="s">
        <v>186</v>
      </c>
      <c r="F61" s="280" t="s">
        <v>998</v>
      </c>
      <c r="G61" s="281" t="s">
        <v>215</v>
      </c>
      <c r="H61" s="279" t="s">
        <v>329</v>
      </c>
      <c r="J61" s="154" t="s">
        <v>192</v>
      </c>
      <c r="K61" s="199"/>
      <c r="L61" s="199"/>
      <c r="M61" s="462"/>
      <c r="N61" s="199"/>
      <c r="O61" s="199"/>
      <c r="P61" s="199"/>
      <c r="Q61" s="199"/>
      <c r="R61" s="199"/>
      <c r="S61" s="126"/>
      <c r="T61" s="53"/>
      <c r="U61" s="53"/>
      <c r="V61" s="53"/>
      <c r="W61" s="53"/>
      <c r="X61" s="53"/>
      <c r="Y61" s="53"/>
      <c r="Z61" s="53"/>
      <c r="AA61" s="53"/>
      <c r="AB61" s="53"/>
      <c r="AC61" s="53"/>
      <c r="AD61" s="53"/>
      <c r="AE61" s="53"/>
      <c r="AF61" s="53"/>
      <c r="AG61" s="53"/>
      <c r="AH61" s="53"/>
      <c r="AI61" s="53"/>
      <c r="AJ61" s="53"/>
      <c r="AK61" s="53"/>
      <c r="AL61" s="61">
        <v>73.556096378783991</v>
      </c>
      <c r="AM61" s="61">
        <v>17.964979473385348</v>
      </c>
      <c r="AN61" s="61">
        <v>8.4789241478306749</v>
      </c>
      <c r="AO61" s="62">
        <v>26.443903621216023</v>
      </c>
      <c r="AP61" s="50"/>
      <c r="AQ61" s="50"/>
      <c r="AR61" s="50"/>
      <c r="AS61" s="50"/>
      <c r="AT61" s="50"/>
      <c r="AU61" s="50"/>
      <c r="AV61" s="50"/>
      <c r="AW61" s="50"/>
      <c r="AX61" s="50"/>
      <c r="AY61" s="50"/>
      <c r="AZ61" s="50"/>
      <c r="BA61" s="50"/>
      <c r="BB61" s="50"/>
      <c r="BC61" s="50"/>
      <c r="BD61" s="50"/>
      <c r="BE61" s="50"/>
      <c r="BF61" s="50"/>
      <c r="BG61" s="50"/>
      <c r="BH61" s="25">
        <v>79.729432568930918</v>
      </c>
      <c r="BI61" s="25">
        <v>11.791643283238399</v>
      </c>
      <c r="BJ61" s="25">
        <v>8.4789241478306749</v>
      </c>
      <c r="BK61" s="24">
        <v>20.270567431069075</v>
      </c>
      <c r="BL61" s="216" t="s">
        <v>92</v>
      </c>
      <c r="BN61" s="582">
        <v>0.34143454200000001</v>
      </c>
      <c r="BO61" s="582">
        <v>6.1522582879999996</v>
      </c>
      <c r="BP61" s="582">
        <v>11.75138254</v>
      </c>
      <c r="BQ61" s="582">
        <v>7.4074732010000002</v>
      </c>
      <c r="BR61" s="582">
        <v>1.0425009709999999</v>
      </c>
      <c r="BS61" s="26" t="s">
        <v>220</v>
      </c>
      <c r="BT61" s="77" t="s">
        <v>220</v>
      </c>
      <c r="BU61" s="77" t="s">
        <v>220</v>
      </c>
      <c r="BV61" s="77" t="s">
        <v>220</v>
      </c>
      <c r="BW61" s="68" t="s">
        <v>220</v>
      </c>
      <c r="BX61" s="582">
        <v>0.34143454200000001</v>
      </c>
      <c r="BY61" s="582">
        <v>6.1522582879999996</v>
      </c>
      <c r="BZ61" s="582">
        <v>11.75138254</v>
      </c>
      <c r="CA61" s="582">
        <v>7.4074732010000002</v>
      </c>
      <c r="CB61" s="582">
        <v>1.0425009709999999</v>
      </c>
    </row>
    <row r="62" spans="1:80" ht="15" customHeight="1" x14ac:dyDescent="0.3">
      <c r="A62" s="207" t="s">
        <v>181</v>
      </c>
      <c r="B62" s="295" t="s">
        <v>208</v>
      </c>
      <c r="C62" s="146" t="s">
        <v>332</v>
      </c>
      <c r="D62" s="295" t="s">
        <v>333</v>
      </c>
      <c r="E62" s="280" t="s">
        <v>186</v>
      </c>
      <c r="F62" s="280" t="s">
        <v>998</v>
      </c>
      <c r="G62" s="281" t="s">
        <v>215</v>
      </c>
      <c r="H62" s="279" t="s">
        <v>329</v>
      </c>
      <c r="J62" s="154" t="s">
        <v>192</v>
      </c>
      <c r="K62" s="199"/>
      <c r="L62" s="199"/>
      <c r="M62" s="462"/>
      <c r="N62" s="199"/>
      <c r="O62" s="199"/>
      <c r="P62" s="199"/>
      <c r="Q62" s="199"/>
      <c r="R62" s="199"/>
      <c r="S62" s="126"/>
      <c r="T62" s="53"/>
      <c r="U62" s="53"/>
      <c r="V62" s="53"/>
      <c r="W62" s="53"/>
      <c r="X62" s="53"/>
      <c r="Y62" s="53"/>
      <c r="Z62" s="53"/>
      <c r="AA62" s="53"/>
      <c r="AB62" s="53"/>
      <c r="AC62" s="53"/>
      <c r="AD62" s="53"/>
      <c r="AE62" s="53"/>
      <c r="AF62" s="53"/>
      <c r="AG62" s="53"/>
      <c r="AH62" s="53"/>
      <c r="AI62" s="53"/>
      <c r="AJ62" s="53"/>
      <c r="AK62" s="53"/>
      <c r="AL62" s="61">
        <v>65.585515982044967</v>
      </c>
      <c r="AM62" s="61">
        <v>16.85667351280188</v>
      </c>
      <c r="AN62" s="61">
        <v>17.557810505153164</v>
      </c>
      <c r="AO62" s="62">
        <v>34.414484017955047</v>
      </c>
      <c r="AP62" s="50"/>
      <c r="AQ62" s="50"/>
      <c r="AR62" s="50"/>
      <c r="AS62" s="50"/>
      <c r="AT62" s="50"/>
      <c r="AU62" s="50"/>
      <c r="AV62" s="50"/>
      <c r="AW62" s="50"/>
      <c r="AX62" s="50"/>
      <c r="AY62" s="50"/>
      <c r="AZ62" s="50"/>
      <c r="BA62" s="50"/>
      <c r="BB62" s="50"/>
      <c r="BC62" s="50"/>
      <c r="BD62" s="50"/>
      <c r="BE62" s="50"/>
      <c r="BF62" s="50"/>
      <c r="BG62" s="50"/>
      <c r="BH62" s="25">
        <v>71.212970978299808</v>
      </c>
      <c r="BI62" s="25">
        <v>11.229218516547032</v>
      </c>
      <c r="BJ62" s="25">
        <v>17.557810505153164</v>
      </c>
      <c r="BK62" s="24">
        <v>28.787029021700196</v>
      </c>
      <c r="BL62" s="216" t="s">
        <v>92</v>
      </c>
      <c r="BN62" s="582">
        <v>1.085815245</v>
      </c>
      <c r="BO62" s="582">
        <v>5.5663512319999997</v>
      </c>
      <c r="BP62" s="582">
        <v>11.10728995</v>
      </c>
      <c r="BQ62" s="582">
        <v>10.44595361</v>
      </c>
      <c r="BR62" s="582">
        <v>6.9212115120000002</v>
      </c>
      <c r="BS62" s="26" t="s">
        <v>220</v>
      </c>
      <c r="BT62" s="77" t="s">
        <v>220</v>
      </c>
      <c r="BU62" s="77" t="s">
        <v>220</v>
      </c>
      <c r="BV62" s="77" t="s">
        <v>220</v>
      </c>
      <c r="BW62" s="68" t="s">
        <v>220</v>
      </c>
      <c r="BX62" s="582">
        <v>1.085815245</v>
      </c>
      <c r="BY62" s="582">
        <v>5.5663512319999997</v>
      </c>
      <c r="BZ62" s="582">
        <v>11.10728995</v>
      </c>
      <c r="CA62" s="582">
        <v>10.44595361</v>
      </c>
      <c r="CB62" s="582">
        <v>6.9212115120000002</v>
      </c>
    </row>
    <row r="63" spans="1:80" ht="15" customHeight="1" x14ac:dyDescent="0.3">
      <c r="A63" s="207" t="s">
        <v>181</v>
      </c>
      <c r="B63" s="295" t="s">
        <v>208</v>
      </c>
      <c r="C63" s="146" t="s">
        <v>327</v>
      </c>
      <c r="D63" s="295" t="s">
        <v>334</v>
      </c>
      <c r="E63" s="280" t="s">
        <v>200</v>
      </c>
      <c r="F63" s="280" t="s">
        <v>884</v>
      </c>
      <c r="G63" s="281" t="s">
        <v>335</v>
      </c>
      <c r="H63" s="279" t="s">
        <v>337</v>
      </c>
      <c r="I63" s="128" t="s">
        <v>187</v>
      </c>
      <c r="J63" s="154" t="s">
        <v>192</v>
      </c>
      <c r="K63" s="199" t="s">
        <v>336</v>
      </c>
      <c r="L63" s="199"/>
      <c r="M63" s="462"/>
      <c r="N63" s="199"/>
      <c r="O63" s="199"/>
      <c r="P63" s="199"/>
      <c r="Q63" s="199"/>
      <c r="R63" s="199"/>
      <c r="S63" s="126"/>
      <c r="T63" s="53"/>
      <c r="U63" s="53"/>
      <c r="V63" s="53"/>
      <c r="W63" s="53"/>
      <c r="X63" s="53"/>
      <c r="Y63" s="53"/>
      <c r="Z63" s="53"/>
      <c r="AA63" s="53"/>
      <c r="AB63" s="53"/>
      <c r="AC63" s="53"/>
      <c r="AD63" s="53"/>
      <c r="AE63" s="53"/>
      <c r="AF63" s="53"/>
      <c r="AG63" s="53"/>
      <c r="AH63" s="53"/>
      <c r="AI63" s="53"/>
      <c r="AJ63" s="53"/>
      <c r="AK63" s="53"/>
      <c r="AL63" s="61">
        <v>62.775295506884262</v>
      </c>
      <c r="AM63" s="61">
        <v>21.079633688511137</v>
      </c>
      <c r="AN63" s="61">
        <v>16.145070804604597</v>
      </c>
      <c r="AO63" s="62">
        <v>37.224704493115738</v>
      </c>
      <c r="AP63" s="50"/>
      <c r="AQ63" s="50"/>
      <c r="AR63" s="50"/>
      <c r="AS63" s="50"/>
      <c r="AT63" s="50"/>
      <c r="AU63" s="50"/>
      <c r="AV63" s="50"/>
      <c r="AW63" s="50"/>
      <c r="AX63" s="50"/>
      <c r="AY63" s="50"/>
      <c r="AZ63" s="50"/>
      <c r="BA63" s="50"/>
      <c r="BB63" s="50"/>
      <c r="BC63" s="50"/>
      <c r="BD63" s="50"/>
      <c r="BE63" s="50"/>
      <c r="BF63" s="50"/>
      <c r="BG63" s="50"/>
      <c r="BH63" s="25">
        <v>73.691099385879525</v>
      </c>
      <c r="BI63" s="25">
        <v>10.163829809515882</v>
      </c>
      <c r="BJ63" s="25">
        <v>16.145070804604597</v>
      </c>
      <c r="BK63" s="24">
        <v>26.308900614120478</v>
      </c>
      <c r="BL63" s="216" t="s">
        <v>92</v>
      </c>
      <c r="BN63" s="582">
        <v>0.46401593099999999</v>
      </c>
      <c r="BO63" s="582">
        <v>10.86515281</v>
      </c>
      <c r="BP63" s="582">
        <v>10.116668020000001</v>
      </c>
      <c r="BQ63" s="582">
        <v>9.9903608679999998</v>
      </c>
      <c r="BR63" s="582">
        <v>6.0797942359999997</v>
      </c>
      <c r="BS63" s="26">
        <v>0.19555245900000001</v>
      </c>
      <c r="BT63" s="77">
        <v>10.4271004</v>
      </c>
      <c r="BU63" s="77">
        <v>30.689727179999998</v>
      </c>
      <c r="BV63" s="77">
        <v>26.81483502</v>
      </c>
      <c r="BW63" s="68">
        <v>16.90274561</v>
      </c>
      <c r="BX63" s="582">
        <v>0.46401593099999999</v>
      </c>
      <c r="BY63" s="582">
        <v>10.86515281</v>
      </c>
      <c r="BZ63" s="582">
        <v>10.116668020000001</v>
      </c>
      <c r="CA63" s="582">
        <v>9.9903608679999998</v>
      </c>
      <c r="CB63" s="582">
        <v>6.0797942359999997</v>
      </c>
    </row>
    <row r="64" spans="1:80" ht="15" customHeight="1" x14ac:dyDescent="0.3">
      <c r="A64" s="207" t="s">
        <v>181</v>
      </c>
      <c r="B64" s="295" t="s">
        <v>182</v>
      </c>
      <c r="C64" s="146" t="s">
        <v>338</v>
      </c>
      <c r="D64" s="146" t="s">
        <v>339</v>
      </c>
      <c r="E64" s="280" t="s">
        <v>186</v>
      </c>
      <c r="F64" s="280" t="s">
        <v>992</v>
      </c>
      <c r="G64" s="128" t="s">
        <v>185</v>
      </c>
      <c r="H64" s="279"/>
      <c r="J64" s="129" t="s">
        <v>188</v>
      </c>
      <c r="K64" s="135" t="s">
        <v>188</v>
      </c>
      <c r="L64" s="135"/>
      <c r="M64" s="461"/>
      <c r="N64" s="135"/>
      <c r="O64" s="135"/>
      <c r="P64" s="135"/>
      <c r="Q64" s="135"/>
      <c r="R64" s="135"/>
      <c r="S64" s="126"/>
      <c r="AL64" s="61">
        <v>63.763269951614092</v>
      </c>
      <c r="AM64" s="61">
        <v>18.623752330670353</v>
      </c>
      <c r="AN64" s="61">
        <v>17.612977717715548</v>
      </c>
      <c r="AO64" s="62">
        <v>36.236730048385901</v>
      </c>
      <c r="BH64" s="25">
        <v>69.448888372090934</v>
      </c>
      <c r="BI64" s="25">
        <v>12.938133910193519</v>
      </c>
      <c r="BJ64" s="25">
        <v>17.612977717715548</v>
      </c>
      <c r="BK64" s="24">
        <v>30.551111627909066</v>
      </c>
      <c r="BL64" s="216" t="s">
        <v>1097</v>
      </c>
      <c r="BN64" s="8">
        <v>1.0245486800000001</v>
      </c>
      <c r="BO64" s="8">
        <v>5.6273664920000002</v>
      </c>
      <c r="BP64" s="8">
        <v>12.80557643</v>
      </c>
      <c r="BQ64" s="8">
        <v>10.943372439999999</v>
      </c>
      <c r="BR64" s="8">
        <v>6.4891517470000002</v>
      </c>
      <c r="BS64" s="26">
        <v>3.2000000000000002E-14</v>
      </c>
      <c r="BT64" s="77">
        <v>15.230810979999999</v>
      </c>
      <c r="BU64" s="77">
        <v>23.167995640000001</v>
      </c>
      <c r="BV64" s="77">
        <v>7.2764892249999997</v>
      </c>
      <c r="BW64" s="68">
        <v>1.0149240289999999</v>
      </c>
      <c r="BX64" s="582">
        <v>1.1248014740000001</v>
      </c>
      <c r="BY64" s="582">
        <v>4.792366436</v>
      </c>
      <c r="BZ64" s="582">
        <v>10.12551865</v>
      </c>
      <c r="CA64" s="582">
        <v>8.5570212560000005</v>
      </c>
      <c r="CB64" s="582">
        <v>5.1837946239999999</v>
      </c>
    </row>
    <row r="65" spans="1:80" ht="15" customHeight="1" x14ac:dyDescent="0.3">
      <c r="A65" s="207" t="s">
        <v>181</v>
      </c>
      <c r="B65" s="295" t="s">
        <v>182</v>
      </c>
      <c r="C65" s="146" t="s">
        <v>340</v>
      </c>
      <c r="D65" s="146" t="s">
        <v>341</v>
      </c>
      <c r="E65" s="280" t="s">
        <v>186</v>
      </c>
      <c r="F65" s="280" t="s">
        <v>992</v>
      </c>
      <c r="G65" s="128" t="s">
        <v>185</v>
      </c>
      <c r="H65" s="279"/>
      <c r="J65" s="129" t="s">
        <v>188</v>
      </c>
      <c r="K65" s="135" t="s">
        <v>188</v>
      </c>
      <c r="L65" s="135"/>
      <c r="M65" s="461"/>
      <c r="N65" s="135"/>
      <c r="O65" s="135"/>
      <c r="P65" s="135"/>
      <c r="Q65" s="135"/>
      <c r="R65" s="135"/>
      <c r="S65" s="126"/>
      <c r="AL65" s="61">
        <v>62.380675226500252</v>
      </c>
      <c r="AM65" s="61">
        <v>25.382458420660292</v>
      </c>
      <c r="AN65" s="61">
        <v>12.236866352839447</v>
      </c>
      <c r="AO65" s="62">
        <v>37.619324773499741</v>
      </c>
      <c r="BH65" s="25">
        <v>71.157896808085724</v>
      </c>
      <c r="BI65" s="25">
        <v>16.605236839074816</v>
      </c>
      <c r="BJ65" s="25">
        <v>12.236866352839449</v>
      </c>
      <c r="BK65" s="24">
        <v>28.842103191914266</v>
      </c>
      <c r="BL65" s="216" t="s">
        <v>1097</v>
      </c>
      <c r="BN65" s="8">
        <v>0.42361792100000001</v>
      </c>
      <c r="BO65" s="8">
        <v>8.7400396980000004</v>
      </c>
      <c r="BP65" s="8">
        <v>16.534894080000001</v>
      </c>
      <c r="BQ65" s="8">
        <v>10.666283460000001</v>
      </c>
      <c r="BR65" s="8">
        <v>1.5187453339999999</v>
      </c>
      <c r="BS65" s="26">
        <v>8.7797020000000003E-3</v>
      </c>
      <c r="BT65" s="77">
        <v>2.0017720919999999</v>
      </c>
      <c r="BU65" s="77">
        <v>2.7920335340000002</v>
      </c>
      <c r="BV65" s="77">
        <v>6.5004814619999998</v>
      </c>
      <c r="BW65" s="68">
        <v>14.83284136</v>
      </c>
      <c r="BX65" s="582">
        <v>0.355593887</v>
      </c>
      <c r="BY65" s="582">
        <v>7.0871149369999999</v>
      </c>
      <c r="BZ65" s="582">
        <v>13.040804789999999</v>
      </c>
      <c r="CA65" s="582">
        <v>7.995827104</v>
      </c>
      <c r="CB65" s="582">
        <v>1.1164055509999999</v>
      </c>
    </row>
    <row r="66" spans="1:80" ht="15" customHeight="1" x14ac:dyDescent="0.3">
      <c r="A66" s="207" t="s">
        <v>181</v>
      </c>
      <c r="B66" s="295" t="s">
        <v>182</v>
      </c>
      <c r="C66" s="146" t="s">
        <v>342</v>
      </c>
      <c r="D66" s="146" t="s">
        <v>343</v>
      </c>
      <c r="E66" s="280" t="s">
        <v>186</v>
      </c>
      <c r="F66" s="280" t="s">
        <v>992</v>
      </c>
      <c r="G66" s="128" t="s">
        <v>185</v>
      </c>
      <c r="H66" s="279"/>
      <c r="J66" s="129" t="s">
        <v>188</v>
      </c>
      <c r="K66" s="135" t="s">
        <v>188</v>
      </c>
      <c r="L66" s="135"/>
      <c r="M66" s="461"/>
      <c r="N66" s="135"/>
      <c r="O66" s="135"/>
      <c r="P66" s="135"/>
      <c r="Q66" s="135"/>
      <c r="R66" s="135"/>
      <c r="S66" s="126"/>
      <c r="AL66" s="61">
        <v>75.825766615199271</v>
      </c>
      <c r="AM66" s="61">
        <v>16.295613397928619</v>
      </c>
      <c r="AN66" s="61">
        <v>7.878619986872109</v>
      </c>
      <c r="AO66" s="62">
        <v>24.174233384800729</v>
      </c>
      <c r="BH66" s="25">
        <v>81.624360452506039</v>
      </c>
      <c r="BI66" s="25">
        <v>10.497019560621849</v>
      </c>
      <c r="BJ66" s="25">
        <v>7.8786199868721098</v>
      </c>
      <c r="BK66" s="24">
        <v>18.375639547493961</v>
      </c>
      <c r="BL66" s="216" t="s">
        <v>1097</v>
      </c>
      <c r="BN66" s="8">
        <v>0.20657988199999999</v>
      </c>
      <c r="BO66" s="8">
        <v>5.7866151090000004</v>
      </c>
      <c r="BP66" s="8">
        <v>10.47533483</v>
      </c>
      <c r="BQ66" s="8">
        <v>6.8496762630000001</v>
      </c>
      <c r="BR66" s="8">
        <v>1.0126680800000001</v>
      </c>
      <c r="BS66" s="26">
        <v>0</v>
      </c>
      <c r="BT66" s="77">
        <v>4.9384666000000001E-2</v>
      </c>
      <c r="BU66" s="77">
        <v>0.14815399900000001</v>
      </c>
      <c r="BV66" s="77">
        <v>0</v>
      </c>
      <c r="BW66" s="68">
        <v>0</v>
      </c>
      <c r="BX66" s="582">
        <v>0.22399928199999999</v>
      </c>
      <c r="BY66" s="582">
        <v>3.8965233619999999</v>
      </c>
      <c r="BZ66" s="582">
        <v>7.4027085589999997</v>
      </c>
      <c r="CA66" s="582">
        <v>4.9562920229999996</v>
      </c>
      <c r="CB66" s="582">
        <v>0.816909471</v>
      </c>
    </row>
    <row r="67" spans="1:80" ht="15" customHeight="1" x14ac:dyDescent="0.3">
      <c r="A67" s="207" t="s">
        <v>181</v>
      </c>
      <c r="B67" s="295" t="s">
        <v>182</v>
      </c>
      <c r="C67" s="146" t="s">
        <v>344</v>
      </c>
      <c r="D67" s="146" t="s">
        <v>345</v>
      </c>
      <c r="E67" s="280" t="s">
        <v>990</v>
      </c>
      <c r="F67" s="280" t="s">
        <v>991</v>
      </c>
      <c r="G67" s="128" t="s">
        <v>185</v>
      </c>
      <c r="H67" s="279"/>
      <c r="I67" s="128" t="s">
        <v>885</v>
      </c>
      <c r="J67" s="129" t="s">
        <v>346</v>
      </c>
      <c r="K67" s="135" t="s">
        <v>201</v>
      </c>
      <c r="L67" s="135"/>
      <c r="M67" s="461"/>
      <c r="N67" s="135" t="s">
        <v>201</v>
      </c>
      <c r="O67" s="135"/>
      <c r="P67" s="135"/>
      <c r="Q67" s="135"/>
      <c r="R67" s="135"/>
      <c r="S67" s="126"/>
      <c r="AL67" s="61">
        <v>99.802461335000004</v>
      </c>
      <c r="AM67" s="61">
        <v>0.197538665</v>
      </c>
      <c r="AN67" s="61">
        <v>0</v>
      </c>
      <c r="AO67" s="62">
        <v>0.197538665</v>
      </c>
      <c r="BH67" s="25">
        <v>99.851846000999998</v>
      </c>
      <c r="BI67" s="25">
        <v>0.14815399900000001</v>
      </c>
      <c r="BJ67" s="25">
        <v>0</v>
      </c>
      <c r="BK67" s="24">
        <v>0.14815399900000001</v>
      </c>
      <c r="BL67" s="216" t="s">
        <v>1097</v>
      </c>
      <c r="BN67" s="8">
        <v>0</v>
      </c>
      <c r="BO67" s="8">
        <v>4.9384666000000001E-2</v>
      </c>
      <c r="BP67" s="8">
        <v>0.14815399900000001</v>
      </c>
      <c r="BQ67" s="8">
        <v>0</v>
      </c>
      <c r="BR67" s="8">
        <v>0</v>
      </c>
      <c r="BS67" s="26">
        <v>1.3796017389999999</v>
      </c>
      <c r="BT67" s="77">
        <v>4.865244047</v>
      </c>
      <c r="BU67" s="77">
        <v>10.8655186</v>
      </c>
      <c r="BV67" s="77">
        <v>6.1176906769999997</v>
      </c>
      <c r="BW67" s="68">
        <v>2.1023054440000002</v>
      </c>
      <c r="BX67" s="582">
        <v>8.9256645999999995E-2</v>
      </c>
      <c r="BY67" s="582">
        <v>0.875118391</v>
      </c>
      <c r="BZ67" s="582">
        <v>0.417404736</v>
      </c>
      <c r="CA67" s="582">
        <v>4.6289793000000003E-2</v>
      </c>
      <c r="CB67" s="582">
        <v>1.0165748E-2</v>
      </c>
    </row>
    <row r="68" spans="1:80" ht="14.4" customHeight="1" x14ac:dyDescent="0.3">
      <c r="A68" s="207" t="s">
        <v>181</v>
      </c>
      <c r="B68" s="295" t="s">
        <v>182</v>
      </c>
      <c r="C68" s="146" t="s">
        <v>347</v>
      </c>
      <c r="D68" s="146" t="s">
        <v>348</v>
      </c>
      <c r="E68" s="280" t="s">
        <v>704</v>
      </c>
      <c r="F68" s="128" t="s">
        <v>882</v>
      </c>
      <c r="G68" s="128" t="s">
        <v>185</v>
      </c>
      <c r="H68" s="279"/>
      <c r="J68" s="129" t="s">
        <v>266</v>
      </c>
      <c r="K68" s="135" t="s">
        <v>188</v>
      </c>
      <c r="L68" s="135"/>
      <c r="M68" s="461"/>
      <c r="N68" s="135"/>
      <c r="O68" s="135"/>
      <c r="P68" s="135"/>
      <c r="Q68" s="135"/>
      <c r="R68" s="135"/>
      <c r="S68" s="126"/>
      <c r="AL68" s="61">
        <v>49.275881750514465</v>
      </c>
      <c r="AM68" s="61">
        <v>26.72417730015685</v>
      </c>
      <c r="AN68" s="61">
        <v>23.999940949328682</v>
      </c>
      <c r="AO68" s="62">
        <v>50.724118249485528</v>
      </c>
      <c r="AP68" s="114">
        <v>-16.729490727620586</v>
      </c>
      <c r="AQ68" s="114">
        <v>-26.078280743405614</v>
      </c>
      <c r="AR68" s="114">
        <v>-7.8675438408849487</v>
      </c>
      <c r="AS68" s="31">
        <v>-21.692156409959694</v>
      </c>
      <c r="AT68" s="31">
        <v>-36.928226958782709</v>
      </c>
      <c r="AU68" s="115">
        <v>-7.8069218824591786</v>
      </c>
      <c r="AV68" s="290">
        <v>-27.596793209062923</v>
      </c>
      <c r="AW68" s="290">
        <v>-45.479699462368949</v>
      </c>
      <c r="AX68" s="290">
        <v>-9.9447488869538319</v>
      </c>
      <c r="AY68" s="56">
        <v>0</v>
      </c>
      <c r="AZ68" s="56">
        <v>0</v>
      </c>
      <c r="BA68" s="56">
        <v>0</v>
      </c>
      <c r="BB68" s="57">
        <v>-1.75</v>
      </c>
      <c r="BC68" s="57">
        <v>-14.632936507936506</v>
      </c>
      <c r="BD68" s="57">
        <v>1.4146825396825449</v>
      </c>
      <c r="BE68" s="58">
        <v>-10</v>
      </c>
      <c r="BF68" s="58">
        <v>-25.210084033613441</v>
      </c>
      <c r="BG68" s="58">
        <v>-3.0199579831932795</v>
      </c>
      <c r="BH68" s="25">
        <v>56.891734585779922</v>
      </c>
      <c r="BI68" s="25">
        <v>19.108324464891393</v>
      </c>
      <c r="BJ68" s="25">
        <v>23.999940949328682</v>
      </c>
      <c r="BK68" s="24">
        <v>50.865712893597895</v>
      </c>
      <c r="BL68" s="216" t="s">
        <v>1097</v>
      </c>
      <c r="BN68" s="8">
        <v>2.2836511160000001</v>
      </c>
      <c r="BO68" s="8">
        <v>7.4419333270000001</v>
      </c>
      <c r="BP68" s="8">
        <v>18.671956999999999</v>
      </c>
      <c r="BQ68" s="8">
        <v>15.587159209999999</v>
      </c>
      <c r="BR68" s="8">
        <v>7.8647068200000003</v>
      </c>
      <c r="BS68" s="26">
        <v>0.177726774</v>
      </c>
      <c r="BT68" s="77">
        <v>40.037602679999999</v>
      </c>
      <c r="BU68" s="77">
        <v>32.572043909999998</v>
      </c>
      <c r="BV68" s="77">
        <v>16.423711310000002</v>
      </c>
      <c r="BW68" s="68">
        <v>1.7795556830000001</v>
      </c>
      <c r="BX68" s="582">
        <v>2.6151184110000001</v>
      </c>
      <c r="BY68" s="582">
        <v>7.4818261250000004</v>
      </c>
      <c r="BZ68" s="582">
        <v>18.619441429999998</v>
      </c>
      <c r="CA68" s="582">
        <v>17.647371029999999</v>
      </c>
      <c r="CB68" s="582">
        <v>12.55292079</v>
      </c>
    </row>
    <row r="69" spans="1:80" x14ac:dyDescent="0.3">
      <c r="BL69" s="216"/>
    </row>
    <row r="70" spans="1:80" x14ac:dyDescent="0.3">
      <c r="BL70" s="216"/>
    </row>
    <row r="71" spans="1:80" x14ac:dyDescent="0.3">
      <c r="BL71" s="216"/>
    </row>
    <row r="72" spans="1:80" ht="15" customHeight="1" x14ac:dyDescent="0.3">
      <c r="A72" s="207" t="s">
        <v>181</v>
      </c>
      <c r="B72" s="295" t="s">
        <v>208</v>
      </c>
      <c r="C72" s="146" t="s">
        <v>314</v>
      </c>
      <c r="D72" s="295" t="s">
        <v>1092</v>
      </c>
      <c r="E72" s="280" t="s">
        <v>186</v>
      </c>
      <c r="F72" s="280" t="s">
        <v>881</v>
      </c>
      <c r="G72" s="281" t="s">
        <v>185</v>
      </c>
      <c r="H72" s="279" t="s">
        <v>315</v>
      </c>
      <c r="I72" s="151" t="s">
        <v>187</v>
      </c>
      <c r="J72" s="154" t="s">
        <v>188</v>
      </c>
      <c r="K72" s="199" t="s">
        <v>201</v>
      </c>
      <c r="L72" s="199"/>
      <c r="M72" s="462"/>
      <c r="N72" s="199"/>
      <c r="O72" s="199"/>
      <c r="P72" s="199"/>
      <c r="Q72" s="199"/>
      <c r="R72" s="199"/>
      <c r="S72" s="126"/>
      <c r="T72" s="53"/>
      <c r="U72" s="53"/>
      <c r="V72" s="53"/>
      <c r="W72" s="53"/>
      <c r="X72" s="53"/>
      <c r="Y72" s="53"/>
      <c r="Z72" s="53"/>
      <c r="AA72" s="53"/>
      <c r="AB72" s="53"/>
      <c r="AC72" s="53"/>
      <c r="AD72" s="53"/>
      <c r="AE72" s="53"/>
      <c r="AF72" s="53"/>
      <c r="AG72" s="53"/>
      <c r="AH72" s="53"/>
      <c r="AI72" s="53"/>
      <c r="AJ72" s="53"/>
      <c r="AK72" s="53"/>
      <c r="AL72" s="61">
        <v>25.143884012334418</v>
      </c>
      <c r="AM72" s="61">
        <v>36.495914026987343</v>
      </c>
      <c r="AN72" s="61">
        <v>38.360201960678239</v>
      </c>
      <c r="AO72" s="62">
        <v>74.856115987665589</v>
      </c>
      <c r="AP72" s="50"/>
      <c r="AQ72" s="50"/>
      <c r="AR72" s="50"/>
      <c r="AS72" s="50"/>
      <c r="AT72" s="50"/>
      <c r="AU72" s="50"/>
      <c r="AV72" s="50"/>
      <c r="AW72" s="50"/>
      <c r="AX72" s="50"/>
      <c r="AY72" s="50"/>
      <c r="AZ72" s="50"/>
      <c r="BA72" s="50"/>
      <c r="BB72" s="50"/>
      <c r="BC72" s="50"/>
      <c r="BD72" s="50"/>
      <c r="BE72" s="50"/>
      <c r="BF72" s="50"/>
      <c r="BG72" s="50"/>
      <c r="BH72" s="25">
        <v>34.440027806113889</v>
      </c>
      <c r="BI72" s="25">
        <v>27.199770233207875</v>
      </c>
      <c r="BJ72" s="25">
        <v>38.360201960678239</v>
      </c>
      <c r="BK72" s="24">
        <v>65.559972193886111</v>
      </c>
      <c r="BL72" s="216" t="s">
        <v>1097</v>
      </c>
      <c r="BN72" s="455">
        <v>0.19668295999999999</v>
      </c>
      <c r="BO72" s="456">
        <v>9.2778598629999998</v>
      </c>
      <c r="BP72" s="456">
        <v>27.146272920000001</v>
      </c>
      <c r="BQ72" s="456">
        <v>23.711211639999998</v>
      </c>
      <c r="BR72" s="456">
        <v>14.573542339999999</v>
      </c>
      <c r="BS72" s="26">
        <v>0.19668295999999999</v>
      </c>
      <c r="BT72" s="77">
        <v>9.2778598629999998</v>
      </c>
      <c r="BU72" s="77">
        <v>27.146272920000001</v>
      </c>
      <c r="BV72" s="77">
        <v>23.711211639999998</v>
      </c>
      <c r="BW72" s="68">
        <v>14.573542339999999</v>
      </c>
      <c r="BX72" s="148">
        <v>1.87606082</v>
      </c>
      <c r="BY72" s="148">
        <v>8.4820055780000008</v>
      </c>
      <c r="BZ72" s="148">
        <v>19.973841109999999</v>
      </c>
      <c r="CA72" s="148">
        <v>16.925245390000001</v>
      </c>
      <c r="CB72" s="161">
        <v>9.6143072239999992</v>
      </c>
    </row>
  </sheetData>
  <autoFilter ref="A2:CB68" xr:uid="{8C054577-939B-4E8F-BBA3-3EB833121309}"/>
  <sortState xmlns:xlrd2="http://schemas.microsoft.com/office/spreadsheetml/2017/richdata2" ref="A3:CR33">
    <sortCondition ref="D3:D33"/>
  </sortState>
  <mergeCells count="8">
    <mergeCell ref="L1:O1"/>
    <mergeCell ref="BS1:BW1"/>
    <mergeCell ref="T1:AK1"/>
    <mergeCell ref="BX1:CB1"/>
    <mergeCell ref="AP1:BG1"/>
    <mergeCell ref="BN1:BR1"/>
    <mergeCell ref="AL1:AO1"/>
    <mergeCell ref="BH1:B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D600-FE6E-4C5D-9BA9-8DEF0C5CEE6F}">
  <dimension ref="A1:DZ55"/>
  <sheetViews>
    <sheetView zoomScale="70" zoomScaleNormal="70" workbookViewId="0">
      <pane xSplit="4" ySplit="2" topLeftCell="BH3" activePane="bottomRight" state="frozen"/>
      <selection pane="topRight" activeCell="E1" sqref="E1"/>
      <selection pane="bottomLeft" activeCell="A3" sqref="A3"/>
      <selection pane="bottomRight" activeCell="BN37" sqref="BN37:CG39"/>
    </sheetView>
  </sheetViews>
  <sheetFormatPr defaultRowHeight="14.4" x14ac:dyDescent="0.3"/>
  <cols>
    <col min="1" max="2" width="8.88671875" style="124"/>
    <col min="3" max="3" width="29.6640625" style="124" customWidth="1"/>
    <col min="4" max="4" width="35.6640625" style="124" customWidth="1"/>
    <col min="5" max="5" width="14.5546875" style="128" customWidth="1"/>
    <col min="6" max="6" width="39.77734375" style="394" customWidth="1"/>
    <col min="7" max="8" width="17.109375" style="128" customWidth="1"/>
    <col min="9" max="9" width="12.21875" style="128" customWidth="1"/>
    <col min="10" max="10" width="13.21875" style="128" bestFit="1" customWidth="1"/>
    <col min="11" max="11" width="10.21875" style="177" bestFit="1" customWidth="1"/>
    <col min="12" max="12" width="12.21875" style="128" customWidth="1"/>
    <col min="13" max="13" width="9.77734375" style="128" customWidth="1"/>
    <col min="14" max="18" width="10.33203125" style="128" customWidth="1"/>
    <col min="19" max="19" width="13.5546875" style="414" bestFit="1" customWidth="1"/>
    <col min="20" max="27" width="8.88671875" style="41"/>
    <col min="28" max="37" width="8.33203125" style="41" customWidth="1"/>
    <col min="38" max="39" width="8.33203125" style="274" customWidth="1"/>
    <col min="40" max="40" width="8.88671875" style="274"/>
    <col min="41" max="41" width="8.88671875" style="275"/>
    <col min="50" max="58" width="8.33203125" customWidth="1"/>
    <col min="59" max="59" width="8.33203125" style="124" customWidth="1"/>
    <col min="60" max="61" width="8.33203125" style="81" customWidth="1"/>
    <col min="62" max="62" width="8.88671875" style="81"/>
    <col min="63" max="63" width="8.88671875" style="278"/>
    <col min="64" max="64" width="25.6640625" style="217" bestFit="1" customWidth="1"/>
    <col min="65" max="65" width="15.33203125" style="29" customWidth="1"/>
    <col min="66" max="66" width="8.88671875" style="449"/>
    <col min="67" max="69" width="8.88671875" style="450"/>
    <col min="70" max="70" width="8.88671875" style="503"/>
    <col min="71" max="75" width="8.88671875" style="41"/>
    <col min="76" max="76" width="8.88671875" style="23"/>
    <col min="77" max="79" width="8.88671875" style="41"/>
    <col min="80" max="80" width="8.88671875" style="29"/>
    <col min="81" max="85" width="8.88671875" style="41"/>
    <col min="86" max="86" width="8.88671875" style="23"/>
    <col min="87" max="87" width="8.88671875" style="41"/>
    <col min="88" max="88" width="8.88671875" style="29"/>
    <col min="89" max="129" width="8.88671875" style="124"/>
  </cols>
  <sheetData>
    <row r="1" spans="1:130" ht="55.95" customHeight="1" thickBot="1" x14ac:dyDescent="0.35">
      <c r="E1" s="480"/>
      <c r="F1" s="481"/>
      <c r="G1" s="480"/>
      <c r="H1" s="482"/>
      <c r="I1" s="480"/>
      <c r="J1" s="480"/>
      <c r="K1" s="483"/>
      <c r="L1" s="702" t="s">
        <v>1104</v>
      </c>
      <c r="M1" s="705"/>
      <c r="N1" s="705"/>
      <c r="O1" s="706"/>
      <c r="P1" s="702" t="s">
        <v>1105</v>
      </c>
      <c r="Q1" s="703"/>
      <c r="R1" s="704"/>
      <c r="S1" s="484"/>
      <c r="T1" s="710" t="s">
        <v>157</v>
      </c>
      <c r="U1" s="711"/>
      <c r="V1" s="711"/>
      <c r="W1" s="711"/>
      <c r="X1" s="711"/>
      <c r="Y1" s="711"/>
      <c r="Z1" s="711"/>
      <c r="AA1" s="711"/>
      <c r="AB1" s="711"/>
      <c r="AC1" s="711"/>
      <c r="AD1" s="711"/>
      <c r="AE1" s="711"/>
      <c r="AF1" s="711"/>
      <c r="AG1" s="711"/>
      <c r="AH1" s="711"/>
      <c r="AI1" s="711"/>
      <c r="AJ1" s="711"/>
      <c r="AK1" s="711"/>
      <c r="AL1" s="711" t="s">
        <v>1276</v>
      </c>
      <c r="AM1" s="711"/>
      <c r="AN1" s="711"/>
      <c r="AO1" s="712"/>
      <c r="AP1" s="710" t="s">
        <v>893</v>
      </c>
      <c r="AQ1" s="711"/>
      <c r="AR1" s="711"/>
      <c r="AS1" s="711"/>
      <c r="AT1" s="711"/>
      <c r="AU1" s="711"/>
      <c r="AV1" s="711"/>
      <c r="AW1" s="711"/>
      <c r="AX1" s="711"/>
      <c r="AY1" s="711"/>
      <c r="AZ1" s="711"/>
      <c r="BA1" s="711"/>
      <c r="BB1" s="711"/>
      <c r="BC1" s="711"/>
      <c r="BD1" s="711"/>
      <c r="BE1" s="711"/>
      <c r="BF1" s="711"/>
      <c r="BG1" s="711"/>
      <c r="BH1" s="711" t="s">
        <v>1277</v>
      </c>
      <c r="BI1" s="711"/>
      <c r="BJ1" s="711"/>
      <c r="BK1" s="712"/>
      <c r="BL1" s="212"/>
      <c r="BM1" s="213"/>
      <c r="BN1" s="686" t="s">
        <v>1111</v>
      </c>
      <c r="BO1" s="687"/>
      <c r="BP1" s="687"/>
      <c r="BQ1" s="687"/>
      <c r="BR1" s="688"/>
      <c r="BS1" s="707" t="s">
        <v>159</v>
      </c>
      <c r="BT1" s="708"/>
      <c r="BU1" s="708"/>
      <c r="BV1" s="708"/>
      <c r="BW1" s="709"/>
      <c r="BX1" s="679" t="s">
        <v>160</v>
      </c>
      <c r="BY1" s="672"/>
      <c r="BZ1" s="672"/>
      <c r="CA1" s="672"/>
      <c r="CB1" s="673"/>
      <c r="CC1" s="679" t="s">
        <v>869</v>
      </c>
      <c r="CD1" s="672"/>
      <c r="CE1" s="672"/>
      <c r="CF1" s="672"/>
      <c r="CG1" s="673"/>
      <c r="CH1" s="435" t="s">
        <v>751</v>
      </c>
      <c r="CI1" s="433"/>
      <c r="CJ1" s="434"/>
    </row>
    <row r="2" spans="1:130" s="38" customFormat="1" ht="69" customHeight="1" thickBot="1" x14ac:dyDescent="0.35">
      <c r="A2" s="471" t="s">
        <v>0</v>
      </c>
      <c r="B2" s="472" t="s">
        <v>1</v>
      </c>
      <c r="C2" s="472" t="s">
        <v>2</v>
      </c>
      <c r="D2" s="472" t="s">
        <v>3</v>
      </c>
      <c r="E2" s="171" t="s">
        <v>357</v>
      </c>
      <c r="F2" s="172" t="s">
        <v>358</v>
      </c>
      <c r="G2" s="171" t="s">
        <v>352</v>
      </c>
      <c r="H2" s="174" t="s">
        <v>1107</v>
      </c>
      <c r="I2" s="173" t="s">
        <v>1106</v>
      </c>
      <c r="J2" s="173" t="s">
        <v>735</v>
      </c>
      <c r="K2" s="301" t="s">
        <v>752</v>
      </c>
      <c r="L2" s="173" t="s">
        <v>895</v>
      </c>
      <c r="M2" s="173" t="s">
        <v>896</v>
      </c>
      <c r="N2" s="173" t="s">
        <v>897</v>
      </c>
      <c r="O2" s="173" t="s">
        <v>898</v>
      </c>
      <c r="P2" s="173" t="s">
        <v>907</v>
      </c>
      <c r="Q2" s="173" t="s">
        <v>908</v>
      </c>
      <c r="R2" s="173" t="s">
        <v>909</v>
      </c>
      <c r="S2" s="491" t="s">
        <v>894</v>
      </c>
      <c r="T2" s="2" t="s">
        <v>712</v>
      </c>
      <c r="U2" s="2" t="s">
        <v>5</v>
      </c>
      <c r="V2" s="2" t="s">
        <v>6</v>
      </c>
      <c r="W2" s="3" t="s">
        <v>711</v>
      </c>
      <c r="X2" s="3" t="s">
        <v>5</v>
      </c>
      <c r="Y2" s="3" t="s">
        <v>6</v>
      </c>
      <c r="Z2" s="4" t="s">
        <v>710</v>
      </c>
      <c r="AA2" s="4" t="s">
        <v>5</v>
      </c>
      <c r="AB2" s="4" t="s">
        <v>6</v>
      </c>
      <c r="AC2" s="5" t="s">
        <v>9</v>
      </c>
      <c r="AD2" s="5" t="s">
        <v>5</v>
      </c>
      <c r="AE2" s="5" t="s">
        <v>6</v>
      </c>
      <c r="AF2" s="6" t="s">
        <v>731</v>
      </c>
      <c r="AG2" s="6" t="s">
        <v>5</v>
      </c>
      <c r="AH2" s="6" t="s">
        <v>11</v>
      </c>
      <c r="AI2" s="6" t="s">
        <v>732</v>
      </c>
      <c r="AJ2" s="6" t="s">
        <v>5</v>
      </c>
      <c r="AK2" s="6" t="s">
        <v>6</v>
      </c>
      <c r="AL2" s="103" t="s">
        <v>71</v>
      </c>
      <c r="AM2" s="103" t="s">
        <v>72</v>
      </c>
      <c r="AN2" s="103" t="s">
        <v>73</v>
      </c>
      <c r="AO2" s="104" t="s">
        <v>865</v>
      </c>
      <c r="AP2" s="2" t="s">
        <v>712</v>
      </c>
      <c r="AQ2" s="2" t="s">
        <v>5</v>
      </c>
      <c r="AR2" s="2" t="s">
        <v>6</v>
      </c>
      <c r="AS2" s="3" t="s">
        <v>711</v>
      </c>
      <c r="AT2" s="3" t="s">
        <v>5</v>
      </c>
      <c r="AU2" s="3" t="s">
        <v>6</v>
      </c>
      <c r="AV2" s="4" t="s">
        <v>710</v>
      </c>
      <c r="AW2" s="4" t="s">
        <v>5</v>
      </c>
      <c r="AX2" s="4" t="s">
        <v>6</v>
      </c>
      <c r="AY2" s="5" t="s">
        <v>9</v>
      </c>
      <c r="AZ2" s="5" t="s">
        <v>5</v>
      </c>
      <c r="BA2" s="5" t="s">
        <v>6</v>
      </c>
      <c r="BB2" s="6" t="s">
        <v>731</v>
      </c>
      <c r="BC2" s="6" t="s">
        <v>5</v>
      </c>
      <c r="BD2" s="6" t="s">
        <v>11</v>
      </c>
      <c r="BE2" s="6" t="s">
        <v>732</v>
      </c>
      <c r="BF2" s="6" t="s">
        <v>5</v>
      </c>
      <c r="BG2" s="6" t="s">
        <v>6</v>
      </c>
      <c r="BH2" s="101" t="s">
        <v>67</v>
      </c>
      <c r="BI2" s="101" t="s">
        <v>68</v>
      </c>
      <c r="BJ2" s="101" t="s">
        <v>69</v>
      </c>
      <c r="BK2" s="495" t="s">
        <v>866</v>
      </c>
      <c r="BL2" s="119" t="s">
        <v>694</v>
      </c>
      <c r="BM2" s="214" t="s">
        <v>744</v>
      </c>
      <c r="BN2" s="447" t="s">
        <v>1098</v>
      </c>
      <c r="BO2" s="448" t="s">
        <v>1099</v>
      </c>
      <c r="BP2" s="448" t="s">
        <v>1100</v>
      </c>
      <c r="BQ2" s="448" t="s">
        <v>1101</v>
      </c>
      <c r="BR2" s="466" t="s">
        <v>1102</v>
      </c>
      <c r="BS2" s="44" t="s">
        <v>163</v>
      </c>
      <c r="BT2" s="44" t="s">
        <v>164</v>
      </c>
      <c r="BU2" s="44" t="s">
        <v>165</v>
      </c>
      <c r="BV2" s="44" t="s">
        <v>166</v>
      </c>
      <c r="BW2" s="44" t="s">
        <v>167</v>
      </c>
      <c r="BX2" s="45" t="s">
        <v>176</v>
      </c>
      <c r="BY2" s="46" t="s">
        <v>177</v>
      </c>
      <c r="BZ2" s="46" t="s">
        <v>178</v>
      </c>
      <c r="CA2" s="46" t="s">
        <v>179</v>
      </c>
      <c r="CB2" s="66" t="s">
        <v>180</v>
      </c>
      <c r="CC2" s="46" t="s">
        <v>75</v>
      </c>
      <c r="CD2" s="46" t="s">
        <v>76</v>
      </c>
      <c r="CE2" s="46" t="s">
        <v>77</v>
      </c>
      <c r="CF2" s="46" t="s">
        <v>78</v>
      </c>
      <c r="CG2" s="46" t="s">
        <v>79</v>
      </c>
      <c r="CH2" s="492" t="s">
        <v>753</v>
      </c>
      <c r="CI2" s="493" t="s">
        <v>754</v>
      </c>
      <c r="CJ2" s="494" t="s">
        <v>755</v>
      </c>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row>
    <row r="3" spans="1:130" ht="15" customHeight="1" x14ac:dyDescent="0.3">
      <c r="A3" s="124" t="s">
        <v>756</v>
      </c>
      <c r="B3" s="262" t="s">
        <v>833</v>
      </c>
      <c r="C3" s="262" t="s">
        <v>834</v>
      </c>
      <c r="D3" s="263" t="s">
        <v>835</v>
      </c>
      <c r="E3" s="587" t="s">
        <v>186</v>
      </c>
      <c r="F3" s="587" t="s">
        <v>836</v>
      </c>
      <c r="G3" s="485" t="s">
        <v>211</v>
      </c>
      <c r="H3" s="486"/>
      <c r="I3" s="487"/>
      <c r="J3" s="488" t="s">
        <v>188</v>
      </c>
      <c r="K3" s="489"/>
      <c r="L3" s="488"/>
      <c r="M3" s="488"/>
      <c r="N3" s="488"/>
      <c r="O3" s="488"/>
      <c r="P3" s="490">
        <v>100006</v>
      </c>
      <c r="Q3" s="490">
        <v>3184</v>
      </c>
      <c r="R3" s="488"/>
      <c r="S3" s="588"/>
      <c r="T3" s="65"/>
      <c r="U3" s="65"/>
      <c r="V3" s="65"/>
      <c r="W3" s="65"/>
      <c r="X3" s="65"/>
      <c r="Y3" s="65"/>
      <c r="Z3" s="164"/>
      <c r="AA3" s="164"/>
      <c r="AB3" s="164"/>
      <c r="AC3" s="164"/>
      <c r="AD3" s="164"/>
      <c r="AE3" s="164"/>
      <c r="AF3" s="164"/>
      <c r="AG3" s="164"/>
      <c r="AH3" s="164"/>
      <c r="AI3" s="164"/>
      <c r="AJ3" s="164"/>
      <c r="AK3" s="164"/>
      <c r="AL3" s="272">
        <v>61.737490347743744</v>
      </c>
      <c r="AM3" s="71">
        <v>23.571688917657355</v>
      </c>
      <c r="AN3" s="71">
        <v>14.690820734598899</v>
      </c>
      <c r="AO3" s="72">
        <v>38.262509652256256</v>
      </c>
      <c r="AP3" s="1"/>
      <c r="AQ3" s="1"/>
      <c r="AR3" s="1"/>
      <c r="AS3" s="1"/>
      <c r="AT3" s="1"/>
      <c r="AU3" s="1"/>
      <c r="AV3" s="1"/>
      <c r="AW3" s="1"/>
      <c r="AX3" s="1"/>
      <c r="AY3" s="162"/>
      <c r="AZ3" s="162"/>
      <c r="BA3" s="162"/>
      <c r="BB3" s="162"/>
      <c r="BC3" s="162"/>
      <c r="BD3" s="162"/>
      <c r="BE3" s="162"/>
      <c r="BF3" s="162"/>
      <c r="BG3" s="162"/>
      <c r="BH3" s="24">
        <v>69.493797244690469</v>
      </c>
      <c r="BI3" s="24">
        <v>15.815382020710627</v>
      </c>
      <c r="BJ3" s="24">
        <v>14.690820734598899</v>
      </c>
      <c r="BK3" s="25">
        <v>30.506202755309527</v>
      </c>
      <c r="BL3" s="215" t="s">
        <v>868</v>
      </c>
      <c r="BN3" s="453">
        <v>0.226006812</v>
      </c>
      <c r="BO3" s="454">
        <v>7.7387771150000004</v>
      </c>
      <c r="BP3" s="454">
        <v>15.779638179999999</v>
      </c>
      <c r="BQ3" s="454">
        <v>12.19356546</v>
      </c>
      <c r="BR3" s="501">
        <v>2.4640530190000001</v>
      </c>
      <c r="BS3" s="496">
        <v>0.226006812</v>
      </c>
      <c r="BT3" s="496">
        <v>7.7387771150000004</v>
      </c>
      <c r="BU3" s="496">
        <v>15.779638179999999</v>
      </c>
      <c r="BV3" s="496">
        <v>12.19356546</v>
      </c>
      <c r="BW3" s="496">
        <v>2.4640530190000001</v>
      </c>
      <c r="BX3" s="499">
        <v>0.35693476800000001</v>
      </c>
      <c r="BY3" s="496">
        <v>5.8008295739999998</v>
      </c>
      <c r="BZ3" s="496">
        <v>12.28738654</v>
      </c>
      <c r="CA3" s="496">
        <v>9.5988630910000001</v>
      </c>
      <c r="CB3" s="497">
        <v>3.4049513660000001</v>
      </c>
      <c r="CC3" s="496">
        <v>0.24032631800000001</v>
      </c>
      <c r="CD3" s="496">
        <v>5.9076197549999998</v>
      </c>
      <c r="CE3" s="496">
        <v>11.912587650000001</v>
      </c>
      <c r="CF3" s="496">
        <v>9.1839186420000001</v>
      </c>
      <c r="CG3" s="496">
        <v>1.851126533</v>
      </c>
      <c r="CH3" s="26"/>
      <c r="CI3" s="77"/>
      <c r="CJ3" s="68"/>
    </row>
    <row r="4" spans="1:130" ht="14.4" customHeight="1" x14ac:dyDescent="0.3">
      <c r="A4" s="124" t="s">
        <v>756</v>
      </c>
      <c r="B4" s="124" t="s">
        <v>763</v>
      </c>
      <c r="C4" s="124" t="s">
        <v>837</v>
      </c>
      <c r="D4" s="124" t="s">
        <v>838</v>
      </c>
      <c r="E4" s="258" t="s">
        <v>186</v>
      </c>
      <c r="F4" s="258" t="s">
        <v>964</v>
      </c>
      <c r="G4" s="255" t="s">
        <v>211</v>
      </c>
      <c r="H4" s="196"/>
      <c r="I4" s="199"/>
      <c r="J4" s="154" t="s">
        <v>188</v>
      </c>
      <c r="K4" s="270"/>
      <c r="L4" s="154"/>
      <c r="M4" s="154"/>
      <c r="N4" s="154"/>
      <c r="O4" s="154"/>
      <c r="P4" s="420">
        <v>12630</v>
      </c>
      <c r="Q4" s="420">
        <v>444</v>
      </c>
      <c r="R4" s="154"/>
      <c r="T4" s="65"/>
      <c r="U4" s="65"/>
      <c r="V4" s="65"/>
      <c r="W4" s="65"/>
      <c r="X4" s="65"/>
      <c r="Y4" s="65"/>
      <c r="Z4" s="164"/>
      <c r="AA4" s="164"/>
      <c r="AB4" s="164"/>
      <c r="AC4" s="164"/>
      <c r="AD4" s="164"/>
      <c r="AE4" s="164"/>
      <c r="AF4" s="164"/>
      <c r="AG4" s="164"/>
      <c r="AH4" s="164"/>
      <c r="AI4" s="164"/>
      <c r="AJ4" s="164"/>
      <c r="AK4" s="164"/>
      <c r="AL4" s="272">
        <v>60.734074237000002</v>
      </c>
      <c r="AM4" s="71">
        <v>11.577119114</v>
      </c>
      <c r="AN4" s="71">
        <v>27.688806648999996</v>
      </c>
      <c r="AO4" s="72">
        <v>39.265925762999998</v>
      </c>
      <c r="AP4" s="1"/>
      <c r="AQ4" s="1"/>
      <c r="AR4" s="1"/>
      <c r="AS4" s="1"/>
      <c r="AT4" s="1"/>
      <c r="AU4" s="1"/>
      <c r="AV4" s="1"/>
      <c r="AW4" s="1"/>
      <c r="AX4" s="1"/>
      <c r="AY4" s="162"/>
      <c r="AZ4" s="162"/>
      <c r="BA4" s="162"/>
      <c r="BB4" s="162"/>
      <c r="BC4" s="162"/>
      <c r="BD4" s="162"/>
      <c r="BE4" s="162"/>
      <c r="BF4" s="162"/>
      <c r="BG4" s="162"/>
      <c r="BH4" s="24">
        <v>66.693760928000003</v>
      </c>
      <c r="BI4" s="24">
        <v>5.6174324230000003</v>
      </c>
      <c r="BJ4" s="24">
        <v>27.688806648999996</v>
      </c>
      <c r="BK4" s="25">
        <v>33.306239071999997</v>
      </c>
      <c r="BL4" s="215" t="s">
        <v>868</v>
      </c>
      <c r="BN4" s="453">
        <v>0</v>
      </c>
      <c r="BO4" s="454">
        <v>5.9596866909999999</v>
      </c>
      <c r="BP4" s="454">
        <v>5.6174324230000003</v>
      </c>
      <c r="BQ4" s="454">
        <v>7.9873369390000004</v>
      </c>
      <c r="BR4" s="501">
        <v>19.701469710000001</v>
      </c>
      <c r="BS4" s="496">
        <v>0</v>
      </c>
      <c r="BT4" s="496">
        <v>5.9596866909999999</v>
      </c>
      <c r="BU4" s="496">
        <v>5.6174324230000003</v>
      </c>
      <c r="BV4" s="496">
        <v>7.9873369390000004</v>
      </c>
      <c r="BW4" s="496">
        <v>19.701469710000001</v>
      </c>
      <c r="BX4" s="499">
        <v>0</v>
      </c>
      <c r="BY4" s="496">
        <v>5.1103007309999997</v>
      </c>
      <c r="BZ4" s="496">
        <v>5.1029418980000001</v>
      </c>
      <c r="CA4" s="496">
        <v>5.7219015219999996</v>
      </c>
      <c r="CB4" s="497">
        <v>11.35794999</v>
      </c>
      <c r="CC4" s="496">
        <v>0</v>
      </c>
      <c r="CD4" s="496">
        <v>6.4411106780000003</v>
      </c>
      <c r="CE4" s="496">
        <v>5.1423349030000001</v>
      </c>
      <c r="CF4" s="496">
        <v>6.2308198079999997</v>
      </c>
      <c r="CG4" s="496">
        <v>11.84171001</v>
      </c>
      <c r="CH4" s="26"/>
      <c r="CI4" s="77"/>
      <c r="CJ4" s="68"/>
      <c r="DZ4" s="51"/>
    </row>
    <row r="5" spans="1:130" ht="14.4" customHeight="1" x14ac:dyDescent="0.3">
      <c r="A5" s="124" t="s">
        <v>756</v>
      </c>
      <c r="B5" s="262" t="s">
        <v>763</v>
      </c>
      <c r="C5" s="262" t="s">
        <v>839</v>
      </c>
      <c r="D5" s="263" t="s">
        <v>840</v>
      </c>
      <c r="E5" s="258" t="s">
        <v>186</v>
      </c>
      <c r="F5" s="258" t="s">
        <v>836</v>
      </c>
      <c r="G5" s="255" t="s">
        <v>211</v>
      </c>
      <c r="H5" s="196"/>
      <c r="I5" s="257"/>
      <c r="J5" s="256" t="s">
        <v>188</v>
      </c>
      <c r="K5" s="268"/>
      <c r="L5" s="256"/>
      <c r="M5" s="256"/>
      <c r="N5" s="256"/>
      <c r="O5" s="256"/>
      <c r="P5" s="418">
        <v>239548</v>
      </c>
      <c r="Q5" s="418">
        <v>3156</v>
      </c>
      <c r="R5" s="256"/>
      <c r="S5" s="416"/>
      <c r="T5" s="65"/>
      <c r="U5" s="65"/>
      <c r="V5" s="65"/>
      <c r="W5" s="65"/>
      <c r="X5" s="65"/>
      <c r="Y5" s="65"/>
      <c r="Z5" s="164"/>
      <c r="AA5" s="164"/>
      <c r="AB5" s="164"/>
      <c r="AC5" s="164"/>
      <c r="AD5" s="164"/>
      <c r="AE5" s="164"/>
      <c r="AF5" s="164"/>
      <c r="AG5" s="164"/>
      <c r="AH5" s="164"/>
      <c r="AI5" s="164"/>
      <c r="AJ5" s="164"/>
      <c r="AK5" s="164"/>
      <c r="AL5" s="272">
        <v>71.097632959504978</v>
      </c>
      <c r="AM5" s="71">
        <v>15.26840354124603</v>
      </c>
      <c r="AN5" s="71">
        <v>13.633963499248999</v>
      </c>
      <c r="AO5" s="72">
        <v>28.902367040495029</v>
      </c>
      <c r="AP5" s="1"/>
      <c r="AQ5" s="1"/>
      <c r="AR5" s="1"/>
      <c r="AS5" s="1"/>
      <c r="AT5" s="1"/>
      <c r="AU5" s="1"/>
      <c r="AV5" s="1"/>
      <c r="AW5" s="1"/>
      <c r="AX5" s="1"/>
      <c r="AY5" s="1"/>
      <c r="AZ5" s="1"/>
      <c r="BA5" s="1"/>
      <c r="BB5" s="1"/>
      <c r="BC5" s="1"/>
      <c r="BD5" s="1"/>
      <c r="BE5" s="1"/>
      <c r="BF5" s="1"/>
      <c r="BG5" s="162"/>
      <c r="BH5" s="24">
        <v>76.942577510542378</v>
      </c>
      <c r="BI5" s="24">
        <v>9.4234589902086174</v>
      </c>
      <c r="BJ5" s="24">
        <v>13.633963499248999</v>
      </c>
      <c r="BK5" s="25">
        <v>23.057422489457615</v>
      </c>
      <c r="BL5" s="215" t="s">
        <v>868</v>
      </c>
      <c r="BN5" s="453">
        <v>1.1188310079999999</v>
      </c>
      <c r="BO5" s="454">
        <v>5.7795494989999998</v>
      </c>
      <c r="BP5" s="454">
        <v>9.3180264089999998</v>
      </c>
      <c r="BQ5" s="454">
        <v>8.9130359519999995</v>
      </c>
      <c r="BR5" s="501">
        <v>4.5683865360000002</v>
      </c>
      <c r="BS5" s="76">
        <v>1.1188310079999999</v>
      </c>
      <c r="BT5" s="496">
        <v>5.7795494989999998</v>
      </c>
      <c r="BU5" s="496">
        <v>9.3180264089999998</v>
      </c>
      <c r="BV5" s="496">
        <v>8.9130359519999995</v>
      </c>
      <c r="BW5" s="496">
        <v>4.5683865360000002</v>
      </c>
      <c r="BX5" s="499">
        <v>1.071454803</v>
      </c>
      <c r="BY5" s="496">
        <v>5.4933618989999999</v>
      </c>
      <c r="BZ5" s="496">
        <v>9.0800904829999993</v>
      </c>
      <c r="CA5" s="496">
        <v>9.1017126939999997</v>
      </c>
      <c r="CB5" s="497">
        <v>5.718579503</v>
      </c>
      <c r="CC5" s="496">
        <v>1.8298813819999999</v>
      </c>
      <c r="CD5" s="496">
        <v>5.616111107</v>
      </c>
      <c r="CE5" s="496">
        <v>8.9289109080000006</v>
      </c>
      <c r="CF5" s="496">
        <v>7.2740353979999997</v>
      </c>
      <c r="CG5" s="496">
        <v>3.1170960499999998</v>
      </c>
      <c r="CH5" s="26"/>
      <c r="CI5" s="77"/>
      <c r="CJ5" s="68"/>
      <c r="DZ5" s="51"/>
    </row>
    <row r="6" spans="1:130" ht="14.4" customHeight="1" x14ac:dyDescent="0.3">
      <c r="A6" s="124" t="s">
        <v>756</v>
      </c>
      <c r="B6" s="243" t="s">
        <v>757</v>
      </c>
      <c r="C6" s="243" t="s">
        <v>770</v>
      </c>
      <c r="D6" s="261" t="s">
        <v>771</v>
      </c>
      <c r="E6" s="130" t="s">
        <v>186</v>
      </c>
      <c r="F6" s="130" t="s">
        <v>772</v>
      </c>
      <c r="G6" s="255" t="s">
        <v>211</v>
      </c>
      <c r="H6" s="196"/>
      <c r="I6" s="257"/>
      <c r="J6" s="256" t="s">
        <v>188</v>
      </c>
      <c r="K6" s="268"/>
      <c r="L6" s="256"/>
      <c r="M6" s="256"/>
      <c r="N6" s="256"/>
      <c r="O6" s="256"/>
      <c r="P6" s="418">
        <v>47582</v>
      </c>
      <c r="Q6" s="418">
        <v>1028</v>
      </c>
      <c r="R6" s="256"/>
      <c r="S6" s="415">
        <v>1</v>
      </c>
      <c r="T6" s="65">
        <v>-14.199964037043912</v>
      </c>
      <c r="U6" s="65">
        <v>-22.318713363813117</v>
      </c>
      <c r="V6" s="65">
        <v>-5.8213769246732596</v>
      </c>
      <c r="W6" s="30">
        <v>-12.110558904677376</v>
      </c>
      <c r="X6" s="30">
        <v>-27.127147405302836</v>
      </c>
      <c r="Y6" s="114">
        <v>3.1063164242241186</v>
      </c>
      <c r="Z6" s="65">
        <v>-5.6325359469506395</v>
      </c>
      <c r="AA6" s="65">
        <v>-27.072021684109473</v>
      </c>
      <c r="AB6" s="65">
        <v>14.75689306551844</v>
      </c>
      <c r="AC6" s="65">
        <v>0</v>
      </c>
      <c r="AD6" s="65">
        <v>0</v>
      </c>
      <c r="AE6" s="65">
        <v>0</v>
      </c>
      <c r="AF6" s="65">
        <v>0</v>
      </c>
      <c r="AG6" s="65">
        <v>-10.671187773354958</v>
      </c>
      <c r="AH6" s="65">
        <v>9.2997592019263919</v>
      </c>
      <c r="AI6" s="65">
        <v>0</v>
      </c>
      <c r="AJ6" s="65">
        <v>-17.980060040210418</v>
      </c>
      <c r="AK6" s="65">
        <v>19.23120989286403</v>
      </c>
      <c r="AL6" s="272">
        <v>55.718090212619458</v>
      </c>
      <c r="AM6" s="71">
        <v>31.93419783383473</v>
      </c>
      <c r="AN6" s="71">
        <v>12.347711953545808</v>
      </c>
      <c r="AO6" s="72">
        <v>44.281909787380542</v>
      </c>
      <c r="AP6">
        <v>-11.668475041335839</v>
      </c>
      <c r="AQ6">
        <v>-17.951071480779774</v>
      </c>
      <c r="AR6">
        <v>-5.14931887602107</v>
      </c>
      <c r="AS6">
        <v>-10.277411700888749</v>
      </c>
      <c r="AT6">
        <v>-24.449380094899311</v>
      </c>
      <c r="AU6">
        <v>3.8524191564886365</v>
      </c>
      <c r="AV6">
        <v>-4.7596087070512993</v>
      </c>
      <c r="AW6">
        <v>-25.816022938417092</v>
      </c>
      <c r="AX6">
        <v>15.305644040973334</v>
      </c>
      <c r="AY6" s="1">
        <v>0</v>
      </c>
      <c r="AZ6" s="1">
        <v>0</v>
      </c>
      <c r="BA6" s="1">
        <v>0</v>
      </c>
      <c r="BB6" s="1">
        <v>0</v>
      </c>
      <c r="BC6" s="1">
        <v>-10.671187773354958</v>
      </c>
      <c r="BD6" s="1">
        <v>9.2997592019263919</v>
      </c>
      <c r="BE6" s="1">
        <v>0</v>
      </c>
      <c r="BF6" s="1">
        <v>-17.980060040210418</v>
      </c>
      <c r="BG6" s="164">
        <v>19.23120989286403</v>
      </c>
      <c r="BH6" s="60">
        <v>67.939071571210178</v>
      </c>
      <c r="BI6" s="24">
        <v>19.71321647524401</v>
      </c>
      <c r="BJ6" s="24">
        <v>12.347711953545808</v>
      </c>
      <c r="BK6" s="25">
        <v>32.060928428789822</v>
      </c>
      <c r="BL6" s="215" t="s">
        <v>868</v>
      </c>
      <c r="BN6" s="453">
        <v>0.185599977</v>
      </c>
      <c r="BO6" s="454">
        <v>12.198299220000001</v>
      </c>
      <c r="BP6" s="454">
        <v>19.676628749999999</v>
      </c>
      <c r="BQ6" s="454">
        <v>10.52545684</v>
      </c>
      <c r="BR6" s="501">
        <v>1.799337763</v>
      </c>
      <c r="BS6" s="76">
        <v>0.185599977</v>
      </c>
      <c r="BT6" s="76">
        <v>12.198299220000001</v>
      </c>
      <c r="BU6" s="76">
        <v>19.676628749999999</v>
      </c>
      <c r="BV6" s="76">
        <v>10.52545684</v>
      </c>
      <c r="BW6" s="76">
        <v>1.799337763</v>
      </c>
      <c r="BX6" s="75">
        <v>0.149909295</v>
      </c>
      <c r="BY6" s="76">
        <v>10.516662050000001</v>
      </c>
      <c r="BZ6" s="76">
        <v>17.354179139999999</v>
      </c>
      <c r="CA6" s="76">
        <v>10.099328870000001</v>
      </c>
      <c r="CB6" s="267">
        <v>1.87889295</v>
      </c>
      <c r="CC6" s="76">
        <v>0.344936458</v>
      </c>
      <c r="CD6" s="76">
        <v>10.20471614</v>
      </c>
      <c r="CE6" s="76">
        <v>17.57910116</v>
      </c>
      <c r="CF6" s="76">
        <v>10.436028820000001</v>
      </c>
      <c r="CG6" s="76">
        <v>1.7661543909999999</v>
      </c>
      <c r="CH6" s="26"/>
      <c r="CI6" s="77"/>
      <c r="CJ6" s="68"/>
    </row>
    <row r="7" spans="1:130" ht="14.4" customHeight="1" x14ac:dyDescent="0.3">
      <c r="A7" s="124" t="s">
        <v>756</v>
      </c>
      <c r="B7" s="262" t="s">
        <v>757</v>
      </c>
      <c r="C7" s="262" t="s">
        <v>841</v>
      </c>
      <c r="D7" s="263" t="s">
        <v>842</v>
      </c>
      <c r="E7" s="258" t="s">
        <v>186</v>
      </c>
      <c r="F7" s="258" t="s">
        <v>836</v>
      </c>
      <c r="G7" s="255" t="s">
        <v>211</v>
      </c>
      <c r="H7" s="196"/>
      <c r="I7" s="257"/>
      <c r="J7" s="256" t="s">
        <v>188</v>
      </c>
      <c r="K7" s="268"/>
      <c r="L7" s="256"/>
      <c r="M7" s="256"/>
      <c r="N7" s="256"/>
      <c r="O7" s="256"/>
      <c r="P7" s="418">
        <v>221161</v>
      </c>
      <c r="Q7" s="418">
        <v>3040</v>
      </c>
      <c r="R7" s="256"/>
      <c r="S7" s="416"/>
      <c r="T7" s="65"/>
      <c r="U7" s="65"/>
      <c r="V7" s="65"/>
      <c r="W7" s="65"/>
      <c r="X7" s="65"/>
      <c r="Y7" s="65"/>
      <c r="Z7" s="65"/>
      <c r="AA7" s="65"/>
      <c r="AB7" s="65"/>
      <c r="AC7" s="65"/>
      <c r="AD7" s="65"/>
      <c r="AE7" s="65"/>
      <c r="AF7" s="65"/>
      <c r="AG7" s="65"/>
      <c r="AH7" s="65"/>
      <c r="AI7" s="65"/>
      <c r="AJ7" s="65"/>
      <c r="AK7" s="65"/>
      <c r="AL7" s="272">
        <v>72.806353736276151</v>
      </c>
      <c r="AM7" s="272">
        <v>14.634374723287069</v>
      </c>
      <c r="AN7" s="272">
        <v>12.559271540436784</v>
      </c>
      <c r="AO7" s="72">
        <v>27.193646263723853</v>
      </c>
      <c r="AP7" s="1"/>
      <c r="AQ7" s="1"/>
      <c r="AR7" s="1"/>
      <c r="AS7" s="1"/>
      <c r="AT7" s="1"/>
      <c r="AU7" s="1"/>
      <c r="AV7" s="1"/>
      <c r="AW7" s="1"/>
      <c r="AX7" s="1"/>
      <c r="AY7" s="1"/>
      <c r="AZ7" s="1"/>
      <c r="BA7" s="1"/>
      <c r="BB7" s="1"/>
      <c r="BC7" s="1"/>
      <c r="BD7" s="1"/>
      <c r="BE7" s="1"/>
      <c r="BF7" s="1"/>
      <c r="BG7" s="162"/>
      <c r="BH7" s="24">
        <v>78.834679646660419</v>
      </c>
      <c r="BI7" s="24">
        <v>8.6060488129028059</v>
      </c>
      <c r="BJ7" s="24">
        <v>12.559271540436784</v>
      </c>
      <c r="BK7" s="25">
        <v>21.165320353339588</v>
      </c>
      <c r="BL7" s="215" t="s">
        <v>870</v>
      </c>
      <c r="BN7" s="453">
        <v>2.2932474030000001</v>
      </c>
      <c r="BO7" s="454">
        <v>5.8900814830000003</v>
      </c>
      <c r="BP7" s="454">
        <v>8.4086908220000005</v>
      </c>
      <c r="BQ7" s="454">
        <v>7.8019362250000004</v>
      </c>
      <c r="BR7" s="501">
        <v>4.4693201470000004</v>
      </c>
      <c r="BS7" s="76" t="s">
        <v>220</v>
      </c>
      <c r="BT7" s="496" t="s">
        <v>220</v>
      </c>
      <c r="BU7" s="496" t="s">
        <v>220</v>
      </c>
      <c r="BV7" s="496" t="s">
        <v>220</v>
      </c>
      <c r="BW7" s="496" t="s">
        <v>220</v>
      </c>
      <c r="BX7" s="499" t="s">
        <v>220</v>
      </c>
      <c r="BY7" s="496" t="s">
        <v>220</v>
      </c>
      <c r="BZ7" s="496" t="s">
        <v>220</v>
      </c>
      <c r="CA7" s="496" t="s">
        <v>220</v>
      </c>
      <c r="CB7" s="497" t="s">
        <v>220</v>
      </c>
      <c r="CC7" s="496">
        <v>2.2932474030000001</v>
      </c>
      <c r="CD7" s="496">
        <v>5.8900814830000003</v>
      </c>
      <c r="CE7" s="496">
        <v>8.4086908220000005</v>
      </c>
      <c r="CF7" s="496">
        <v>7.8019362250000004</v>
      </c>
      <c r="CG7" s="496">
        <v>4.4693201470000004</v>
      </c>
      <c r="CH7" s="26"/>
      <c r="CI7" s="77"/>
      <c r="CJ7" s="68"/>
    </row>
    <row r="8" spans="1:130" ht="14.4" customHeight="1" x14ac:dyDescent="0.3">
      <c r="A8" s="124" t="s">
        <v>756</v>
      </c>
      <c r="B8" s="260" t="s">
        <v>757</v>
      </c>
      <c r="C8" s="262" t="s">
        <v>795</v>
      </c>
      <c r="D8" s="262" t="s">
        <v>796</v>
      </c>
      <c r="E8" s="151" t="s">
        <v>186</v>
      </c>
      <c r="F8" s="151" t="s">
        <v>947</v>
      </c>
      <c r="G8" s="255" t="s">
        <v>211</v>
      </c>
      <c r="H8" s="196"/>
      <c r="I8" s="127" t="s">
        <v>187</v>
      </c>
      <c r="J8" s="152" t="s">
        <v>188</v>
      </c>
      <c r="K8" s="269"/>
      <c r="L8" s="152"/>
      <c r="M8" s="152" t="s">
        <v>946</v>
      </c>
      <c r="N8" s="152"/>
      <c r="O8" s="152"/>
      <c r="P8" s="152">
        <v>20000</v>
      </c>
      <c r="Q8" s="152" t="s">
        <v>945</v>
      </c>
      <c r="R8" s="152"/>
      <c r="S8" s="415">
        <v>2</v>
      </c>
      <c r="T8" s="65">
        <v>-4.9989062746625876</v>
      </c>
      <c r="U8" s="65">
        <v>-8.7280379736213831</v>
      </c>
      <c r="V8" s="65">
        <v>-1.1211799495024195</v>
      </c>
      <c r="W8" s="30">
        <v>-4.4828376973193258</v>
      </c>
      <c r="X8" s="30">
        <v>-16.347552034079882</v>
      </c>
      <c r="Y8" s="114">
        <v>5.4269940410501647</v>
      </c>
      <c r="Z8" s="65">
        <v>-3.4416646580788637</v>
      </c>
      <c r="AA8" s="65">
        <v>-20.593784741370442</v>
      </c>
      <c r="AB8" s="65">
        <v>11.428193886304186</v>
      </c>
      <c r="AC8" s="65">
        <v>0</v>
      </c>
      <c r="AD8" s="65">
        <v>0</v>
      </c>
      <c r="AE8" s="65">
        <v>0</v>
      </c>
      <c r="AF8" s="65">
        <v>0</v>
      </c>
      <c r="AG8" s="65">
        <v>-9.5600766622438442</v>
      </c>
      <c r="AH8" s="65">
        <v>8.1886480908152777</v>
      </c>
      <c r="AI8" s="65">
        <v>-1.4285714285714306</v>
      </c>
      <c r="AJ8" s="65">
        <v>-16.446308077887025</v>
      </c>
      <c r="AK8" s="65">
        <v>12.9261615577405</v>
      </c>
      <c r="AL8" s="272">
        <v>80.094579698965674</v>
      </c>
      <c r="AM8" s="71">
        <v>16.008634490017872</v>
      </c>
      <c r="AN8" s="71">
        <v>3.896785811016453</v>
      </c>
      <c r="AO8" s="72">
        <v>19.905420301034326</v>
      </c>
      <c r="AP8">
        <v>-3.7065043029476641</v>
      </c>
      <c r="AQ8">
        <v>-6.2035145617172134</v>
      </c>
      <c r="AR8">
        <v>-1.0277609058815074</v>
      </c>
      <c r="AS8">
        <v>-3.4596861363783518</v>
      </c>
      <c r="AT8">
        <v>-14.569801303671326</v>
      </c>
      <c r="AU8">
        <v>6.1904227699346137</v>
      </c>
      <c r="AV8">
        <v>-3.2801144116144911</v>
      </c>
      <c r="AW8">
        <v>-19.78026956734584</v>
      </c>
      <c r="AX8">
        <v>11.760640021021189</v>
      </c>
      <c r="AY8" s="1">
        <v>0</v>
      </c>
      <c r="AZ8" s="1">
        <v>0</v>
      </c>
      <c r="BA8" s="1">
        <v>0</v>
      </c>
      <c r="BB8" s="1">
        <v>0</v>
      </c>
      <c r="BC8" s="1">
        <v>-9.5600766622438442</v>
      </c>
      <c r="BD8" s="1">
        <v>8.1886480908152777</v>
      </c>
      <c r="BE8" s="1">
        <v>-1.4285714285714306</v>
      </c>
      <c r="BF8" s="1">
        <v>-16.446308077887025</v>
      </c>
      <c r="BG8" s="164">
        <v>12.9261615577405</v>
      </c>
      <c r="BH8" s="60">
        <v>87.633591200636005</v>
      </c>
      <c r="BI8" s="24">
        <v>8.4696229883475418</v>
      </c>
      <c r="BJ8" s="24">
        <v>3.896785811016453</v>
      </c>
      <c r="BK8" s="25">
        <v>12.366408799363995</v>
      </c>
      <c r="BL8" s="215" t="s">
        <v>868</v>
      </c>
      <c r="BN8" s="453">
        <v>5.7752314999999999E-2</v>
      </c>
      <c r="BO8" s="454">
        <v>7.5346575480000002</v>
      </c>
      <c r="BP8" s="454">
        <v>8.4647315849999991</v>
      </c>
      <c r="BQ8" s="454">
        <v>3.2049186679999999</v>
      </c>
      <c r="BR8" s="501">
        <v>0.68961665900000002</v>
      </c>
      <c r="BS8" s="76">
        <v>5.7752314999999999E-2</v>
      </c>
      <c r="BT8" s="76">
        <v>7.5346575480000002</v>
      </c>
      <c r="BU8" s="76">
        <v>8.4647315849999991</v>
      </c>
      <c r="BV8" s="76">
        <v>3.2049186679999999</v>
      </c>
      <c r="BW8" s="76">
        <v>0.68961665900000002</v>
      </c>
      <c r="BX8" s="75">
        <v>0.13058348</v>
      </c>
      <c r="BY8" s="76">
        <v>12.590423879999999</v>
      </c>
      <c r="BZ8" s="76">
        <v>9.0024873040000006</v>
      </c>
      <c r="CA8" s="76">
        <v>3.4791170070000002</v>
      </c>
      <c r="CB8" s="267">
        <v>0.68193595200000001</v>
      </c>
      <c r="CC8" s="76">
        <v>0.112281622</v>
      </c>
      <c r="CD8" s="76">
        <v>4.651508808</v>
      </c>
      <c r="CE8" s="76">
        <v>9.9321414580000003</v>
      </c>
      <c r="CF8" s="76">
        <v>7.4638599570000004</v>
      </c>
      <c r="CG8" s="76">
        <v>1.421488407</v>
      </c>
      <c r="CH8" s="26"/>
      <c r="CI8" s="77"/>
      <c r="CJ8" s="68"/>
    </row>
    <row r="9" spans="1:130" ht="14.4" customHeight="1" x14ac:dyDescent="0.3">
      <c r="A9" s="124" t="s">
        <v>756</v>
      </c>
      <c r="B9" s="262" t="s">
        <v>757</v>
      </c>
      <c r="C9" s="262" t="s">
        <v>843</v>
      </c>
      <c r="D9" s="263" t="s">
        <v>844</v>
      </c>
      <c r="E9" s="258" t="s">
        <v>186</v>
      </c>
      <c r="F9" s="258" t="s">
        <v>836</v>
      </c>
      <c r="G9" s="255" t="s">
        <v>211</v>
      </c>
      <c r="H9" s="196"/>
      <c r="I9" s="257"/>
      <c r="J9" s="256" t="s">
        <v>188</v>
      </c>
      <c r="K9" s="268"/>
      <c r="L9" s="256"/>
      <c r="M9" s="256"/>
      <c r="N9" s="256"/>
      <c r="O9" s="256"/>
      <c r="P9" s="418">
        <v>60130</v>
      </c>
      <c r="Q9" s="418">
        <v>600</v>
      </c>
      <c r="R9" s="256"/>
      <c r="S9" s="416"/>
      <c r="T9" s="65"/>
      <c r="U9" s="65"/>
      <c r="V9" s="65"/>
      <c r="W9" s="65"/>
      <c r="X9" s="65"/>
      <c r="Y9" s="65"/>
      <c r="Z9" s="65"/>
      <c r="AA9" s="65"/>
      <c r="AB9" s="65"/>
      <c r="AC9" s="65"/>
      <c r="AD9" s="65"/>
      <c r="AE9" s="65"/>
      <c r="AF9" s="65"/>
      <c r="AG9" s="65"/>
      <c r="AH9" s="65"/>
      <c r="AI9" s="65"/>
      <c r="AJ9" s="65"/>
      <c r="AK9" s="65"/>
      <c r="AL9" s="272">
        <v>59.173286122994696</v>
      </c>
      <c r="AM9" s="71">
        <v>18.942708409301765</v>
      </c>
      <c r="AN9" s="71">
        <v>21.884005467703538</v>
      </c>
      <c r="AO9" s="72">
        <v>40.826713877005304</v>
      </c>
      <c r="AP9" s="1"/>
      <c r="AQ9" s="1"/>
      <c r="AR9" s="1"/>
      <c r="AS9" s="1"/>
      <c r="AT9" s="1"/>
      <c r="AU9" s="1"/>
      <c r="AV9" s="1"/>
      <c r="AW9" s="1"/>
      <c r="AX9" s="1"/>
      <c r="AY9" s="1"/>
      <c r="AZ9" s="1"/>
      <c r="BA9" s="1"/>
      <c r="BB9" s="1"/>
      <c r="BC9" s="1"/>
      <c r="BD9" s="1"/>
      <c r="BE9" s="1"/>
      <c r="BF9" s="1"/>
      <c r="BG9" s="162"/>
      <c r="BH9" s="24">
        <v>65.100781650773001</v>
      </c>
      <c r="BI9" s="24">
        <v>13.015212881523459</v>
      </c>
      <c r="BJ9" s="24">
        <v>21.884005467703538</v>
      </c>
      <c r="BK9" s="25">
        <v>34.899218349226999</v>
      </c>
      <c r="BL9" s="215" t="s">
        <v>868</v>
      </c>
      <c r="BN9" s="453">
        <v>0.46126161799999998</v>
      </c>
      <c r="BO9" s="454">
        <v>5.9001542660000004</v>
      </c>
      <c r="BP9" s="454">
        <v>12.955178699999999</v>
      </c>
      <c r="BQ9" s="454">
        <v>13.399096370000001</v>
      </c>
      <c r="BR9" s="501">
        <v>8.3839665799999992</v>
      </c>
      <c r="BS9" s="76">
        <v>0.46126161799999998</v>
      </c>
      <c r="BT9" s="496">
        <v>5.9001542660000004</v>
      </c>
      <c r="BU9" s="496">
        <v>12.955178699999999</v>
      </c>
      <c r="BV9" s="496">
        <v>13.399096370000001</v>
      </c>
      <c r="BW9" s="496">
        <v>8.3839665799999992</v>
      </c>
      <c r="BX9" s="499">
        <v>0.76518412199999997</v>
      </c>
      <c r="BY9" s="496">
        <v>7.6948998499999997</v>
      </c>
      <c r="BZ9" s="496">
        <v>15.89578111</v>
      </c>
      <c r="CA9" s="496">
        <v>14.31163213</v>
      </c>
      <c r="CB9" s="497">
        <v>6.710678369</v>
      </c>
      <c r="CC9" s="496">
        <v>0.60375469400000004</v>
      </c>
      <c r="CD9" s="496">
        <v>6.228943374</v>
      </c>
      <c r="CE9" s="496">
        <v>12.05759293</v>
      </c>
      <c r="CF9" s="496">
        <v>12.15587468</v>
      </c>
      <c r="CG9" s="496">
        <v>7.2175192929999996</v>
      </c>
      <c r="CH9" s="26"/>
      <c r="CI9" s="77"/>
      <c r="CJ9" s="68"/>
    </row>
    <row r="10" spans="1:130" ht="14.4" customHeight="1" x14ac:dyDescent="0.3">
      <c r="A10" s="124" t="s">
        <v>756</v>
      </c>
      <c r="B10" s="260" t="s">
        <v>757</v>
      </c>
      <c r="C10" s="260" t="s">
        <v>760</v>
      </c>
      <c r="D10" s="260" t="s">
        <v>761</v>
      </c>
      <c r="E10" s="130" t="s">
        <v>704</v>
      </c>
      <c r="F10" s="130" t="s">
        <v>961</v>
      </c>
      <c r="G10" s="255" t="s">
        <v>211</v>
      </c>
      <c r="H10" s="196" t="s">
        <v>762</v>
      </c>
      <c r="I10" s="127" t="s">
        <v>201</v>
      </c>
      <c r="J10" s="152" t="s">
        <v>201</v>
      </c>
      <c r="K10" s="269"/>
      <c r="L10" s="152"/>
      <c r="M10" s="152" t="s">
        <v>201</v>
      </c>
      <c r="N10" s="152"/>
      <c r="O10" s="152"/>
      <c r="P10" s="418">
        <v>4852</v>
      </c>
      <c r="Q10" s="411" t="s">
        <v>963</v>
      </c>
      <c r="R10" s="152"/>
      <c r="S10" s="415">
        <v>3</v>
      </c>
      <c r="T10" s="65">
        <v>-20.386673091420107</v>
      </c>
      <c r="U10" s="65">
        <v>-26.279027983672947</v>
      </c>
      <c r="V10" s="65">
        <v>-9.396623661696907</v>
      </c>
      <c r="W10" s="30">
        <v>-24.830938329404049</v>
      </c>
      <c r="X10" s="30">
        <v>-42.44611330224101</v>
      </c>
      <c r="Y10" s="114">
        <v>-7.1035429075773067</v>
      </c>
      <c r="Z10" s="65">
        <v>-27.995439828777819</v>
      </c>
      <c r="AA10" s="65">
        <v>-50.482975465443467</v>
      </c>
      <c r="AB10" s="65">
        <v>-6.3094986951045371</v>
      </c>
      <c r="AC10" s="65">
        <v>0</v>
      </c>
      <c r="AD10" s="65">
        <v>0</v>
      </c>
      <c r="AE10" s="65">
        <v>0</v>
      </c>
      <c r="AF10" s="65">
        <v>-6.25</v>
      </c>
      <c r="AG10" s="65">
        <v>-22.682422969187684</v>
      </c>
      <c r="AH10" s="65">
        <v>3.2181372549019613</v>
      </c>
      <c r="AI10" s="65">
        <v>-18.75</v>
      </c>
      <c r="AJ10" s="65">
        <v>-37.296794871794873</v>
      </c>
      <c r="AK10" s="65">
        <v>-1.9903846153846132</v>
      </c>
      <c r="AL10" s="272">
        <v>69.26490350823228</v>
      </c>
      <c r="AM10" s="71">
        <v>4.1005644988865013</v>
      </c>
      <c r="AN10" s="71">
        <v>26.634531992881222</v>
      </c>
      <c r="AO10" s="72">
        <v>30.735096491767724</v>
      </c>
      <c r="AP10">
        <v>-19.915586606305283</v>
      </c>
      <c r="AQ10">
        <v>-25.441425859589671</v>
      </c>
      <c r="AR10">
        <v>-9.2587332120079537</v>
      </c>
      <c r="AS10">
        <v>-24.462634350132447</v>
      </c>
      <c r="AT10">
        <v>-41.904393096364949</v>
      </c>
      <c r="AU10">
        <v>-6.928891637287748</v>
      </c>
      <c r="AV10">
        <v>-27.909787740575126</v>
      </c>
      <c r="AW10">
        <v>-50.258103908337063</v>
      </c>
      <c r="AX10">
        <v>-6.2924937750291292</v>
      </c>
      <c r="AY10" s="1">
        <v>0</v>
      </c>
      <c r="AZ10" s="1">
        <v>0</v>
      </c>
      <c r="BA10" s="1">
        <v>0</v>
      </c>
      <c r="BB10" s="1">
        <v>-6.25</v>
      </c>
      <c r="BC10" s="1">
        <v>-22.682422969187684</v>
      </c>
      <c r="BD10" s="1">
        <v>3.2181372549019613</v>
      </c>
      <c r="BE10" s="1">
        <v>-18.75</v>
      </c>
      <c r="BF10" s="1">
        <v>-37.296794871794873</v>
      </c>
      <c r="BG10" s="164">
        <v>-1.9903846153846132</v>
      </c>
      <c r="BH10" s="60">
        <v>70.635336919475407</v>
      </c>
      <c r="BI10" s="24">
        <v>2.7301310876433709</v>
      </c>
      <c r="BJ10" s="24">
        <v>26.634531992881222</v>
      </c>
      <c r="BK10" s="25">
        <v>29.364663080524593</v>
      </c>
      <c r="BL10" s="215" t="s">
        <v>868</v>
      </c>
      <c r="BN10" s="453">
        <v>9.4808870000000003E-3</v>
      </c>
      <c r="BO10" s="454">
        <v>1.370303482</v>
      </c>
      <c r="BP10" s="454">
        <v>2.7298722469999999</v>
      </c>
      <c r="BQ10" s="454">
        <v>7.8724809929999999</v>
      </c>
      <c r="BR10" s="501">
        <v>18.75952581</v>
      </c>
      <c r="BS10" s="76">
        <v>9.4808870000000003E-3</v>
      </c>
      <c r="BT10" s="76">
        <v>1.370303482</v>
      </c>
      <c r="BU10" s="76">
        <v>2.7298722469999999</v>
      </c>
      <c r="BV10" s="76">
        <v>7.8724809929999999</v>
      </c>
      <c r="BW10" s="76">
        <v>18.75952581</v>
      </c>
      <c r="BX10" s="75">
        <v>1.0189525E-2</v>
      </c>
      <c r="BY10" s="76">
        <v>2.3062291959999999</v>
      </c>
      <c r="BZ10" s="76">
        <v>5.5566877249999997</v>
      </c>
      <c r="CA10" s="76">
        <v>9.0754704159999999</v>
      </c>
      <c r="CB10" s="267">
        <v>14.95822295</v>
      </c>
      <c r="CC10" s="76">
        <v>8.8104058999999998E-2</v>
      </c>
      <c r="CD10" s="76">
        <v>4.6679260180000002</v>
      </c>
      <c r="CE10" s="76">
        <v>4.4944916810000004</v>
      </c>
      <c r="CF10" s="76">
        <v>6.571009622</v>
      </c>
      <c r="CG10" s="76">
        <v>11.734963199999999</v>
      </c>
      <c r="CH10" s="26"/>
      <c r="CI10" s="77"/>
      <c r="CJ10" s="68"/>
    </row>
    <row r="11" spans="1:130" ht="14.4" customHeight="1" x14ac:dyDescent="0.3">
      <c r="A11" s="124" t="s">
        <v>756</v>
      </c>
      <c r="B11" s="243" t="s">
        <v>763</v>
      </c>
      <c r="C11" s="243" t="s">
        <v>764</v>
      </c>
      <c r="D11" s="261" t="s">
        <v>765</v>
      </c>
      <c r="E11" s="255" t="s">
        <v>186</v>
      </c>
      <c r="F11" s="130" t="s">
        <v>968</v>
      </c>
      <c r="G11" s="255" t="s">
        <v>211</v>
      </c>
      <c r="H11" s="196"/>
      <c r="I11" s="257"/>
      <c r="J11" s="256" t="s">
        <v>188</v>
      </c>
      <c r="K11" s="268"/>
      <c r="L11" s="256"/>
      <c r="M11" s="256"/>
      <c r="N11" s="256"/>
      <c r="O11" s="256"/>
      <c r="P11" s="418">
        <v>35964</v>
      </c>
      <c r="Q11" s="418">
        <v>468</v>
      </c>
      <c r="R11" s="256"/>
      <c r="S11" s="415">
        <v>4</v>
      </c>
      <c r="T11" s="65">
        <v>-19.56148434903443</v>
      </c>
      <c r="U11" s="65">
        <v>-37.398402686569945</v>
      </c>
      <c r="V11" s="65">
        <v>-8.1582196704858916</v>
      </c>
      <c r="W11" s="30">
        <v>-16.949369973181732</v>
      </c>
      <c r="X11" s="30">
        <v>-40.544903180639864</v>
      </c>
      <c r="Y11" s="114">
        <v>-3.4352180788762325</v>
      </c>
      <c r="Z11" s="65">
        <v>-7.0738854653030216</v>
      </c>
      <c r="AA11" s="65">
        <v>-34.437324888280173</v>
      </c>
      <c r="AB11" s="65">
        <v>5.0681640246504855</v>
      </c>
      <c r="AC11" s="65">
        <v>0</v>
      </c>
      <c r="AD11" s="65">
        <v>0</v>
      </c>
      <c r="AE11" s="65">
        <v>0</v>
      </c>
      <c r="AF11" s="65">
        <v>0</v>
      </c>
      <c r="AG11" s="65">
        <v>-8.6080298786181118</v>
      </c>
      <c r="AH11" s="65">
        <v>4.5445378151260485</v>
      </c>
      <c r="AI11" s="65">
        <v>0</v>
      </c>
      <c r="AJ11" s="65">
        <v>-14.100122100122093</v>
      </c>
      <c r="AK11" s="65">
        <v>8.6153846153846132</v>
      </c>
      <c r="AL11" s="272">
        <v>47.576952668417817</v>
      </c>
      <c r="AM11" s="71">
        <v>26.527853341215419</v>
      </c>
      <c r="AN11" s="71">
        <v>25.89519399036676</v>
      </c>
      <c r="AO11" s="72">
        <v>52.423047331582183</v>
      </c>
      <c r="AP11">
        <v>-17.894454801080684</v>
      </c>
      <c r="AQ11">
        <v>-33.397623694808715</v>
      </c>
      <c r="AR11">
        <v>-7.8385103367233739</v>
      </c>
      <c r="AS11">
        <v>-15.551216158768909</v>
      </c>
      <c r="AT11">
        <v>-37.419954360458448</v>
      </c>
      <c r="AU11">
        <v>-2.8944484367858507</v>
      </c>
      <c r="AV11">
        <v>-6.5361339982211746</v>
      </c>
      <c r="AW11">
        <v>-32.688155281068873</v>
      </c>
      <c r="AX11">
        <v>5.3781820132919904</v>
      </c>
      <c r="AY11" s="1">
        <v>0</v>
      </c>
      <c r="AZ11" s="1">
        <v>0</v>
      </c>
      <c r="BA11" s="1">
        <v>0</v>
      </c>
      <c r="BB11" s="1">
        <v>0</v>
      </c>
      <c r="BC11" s="1">
        <v>-8.6080298786181118</v>
      </c>
      <c r="BD11" s="1">
        <v>4.5445378151260485</v>
      </c>
      <c r="BE11" s="1">
        <v>0</v>
      </c>
      <c r="BF11" s="1">
        <v>-14.100122100122093</v>
      </c>
      <c r="BG11" s="164">
        <v>8.6153846153846132</v>
      </c>
      <c r="BH11" s="60">
        <v>55.105473207563691</v>
      </c>
      <c r="BI11" s="24">
        <v>18.999332802069553</v>
      </c>
      <c r="BJ11" s="24">
        <v>25.89519399036676</v>
      </c>
      <c r="BK11" s="25">
        <v>44.894526792436309</v>
      </c>
      <c r="BL11" s="215" t="s">
        <v>868</v>
      </c>
      <c r="BN11" s="453">
        <v>1.829590574</v>
      </c>
      <c r="BO11" s="454">
        <v>7.390779437</v>
      </c>
      <c r="BP11" s="454">
        <v>18.651722800000002</v>
      </c>
      <c r="BQ11" s="454">
        <v>16.728752969999999</v>
      </c>
      <c r="BR11" s="501">
        <v>8.6926649919999992</v>
      </c>
      <c r="BS11" s="76">
        <v>1.829590574</v>
      </c>
      <c r="BT11" s="76">
        <v>7.390779437</v>
      </c>
      <c r="BU11" s="76">
        <v>18.651722800000002</v>
      </c>
      <c r="BV11" s="76">
        <v>16.728752969999999</v>
      </c>
      <c r="BW11" s="76">
        <v>8.6926649919999992</v>
      </c>
      <c r="BX11" s="75">
        <v>1.335905202</v>
      </c>
      <c r="BY11" s="76">
        <v>8.2328803570000009</v>
      </c>
      <c r="BZ11" s="76">
        <v>20.08053293</v>
      </c>
      <c r="CA11" s="76">
        <v>18.284914659999998</v>
      </c>
      <c r="CB11" s="267">
        <v>7.3311059719999996</v>
      </c>
      <c r="CC11" s="76">
        <v>1.737927577</v>
      </c>
      <c r="CD11" s="76">
        <v>6.8251329439999999</v>
      </c>
      <c r="CE11" s="76">
        <v>15.56123509</v>
      </c>
      <c r="CF11" s="76">
        <v>13.87383692</v>
      </c>
      <c r="CG11" s="76">
        <v>8.3725571480000003</v>
      </c>
      <c r="CH11" s="26"/>
      <c r="CI11" s="77"/>
      <c r="CJ11" s="68"/>
    </row>
    <row r="12" spans="1:130" ht="14.4" customHeight="1" x14ac:dyDescent="0.3">
      <c r="A12" s="124" t="s">
        <v>756</v>
      </c>
      <c r="B12" s="262" t="s">
        <v>757</v>
      </c>
      <c r="C12" s="124" t="s">
        <v>811</v>
      </c>
      <c r="D12" s="265" t="s">
        <v>817</v>
      </c>
      <c r="E12" s="130" t="s">
        <v>186</v>
      </c>
      <c r="F12" s="130" t="s">
        <v>769</v>
      </c>
      <c r="G12" s="255" t="s">
        <v>211</v>
      </c>
      <c r="H12" s="196" t="s">
        <v>818</v>
      </c>
      <c r="I12" s="199"/>
      <c r="J12" s="154" t="s">
        <v>188</v>
      </c>
      <c r="K12" s="270"/>
      <c r="L12" s="154"/>
      <c r="M12" s="154"/>
      <c r="N12" s="154"/>
      <c r="O12" s="154"/>
      <c r="P12" s="420">
        <v>1177659</v>
      </c>
      <c r="Q12" s="420">
        <v>4748</v>
      </c>
      <c r="R12" s="154"/>
      <c r="S12" s="415">
        <v>5</v>
      </c>
      <c r="T12" s="65">
        <v>-2.1751550334287799</v>
      </c>
      <c r="U12" s="65">
        <v>-4.9807789404500085</v>
      </c>
      <c r="V12" s="65">
        <v>-0.47754785162237567</v>
      </c>
      <c r="W12" s="30">
        <v>-3.4251550334287799</v>
      </c>
      <c r="X12" s="30">
        <v>-16.782416123126708</v>
      </c>
      <c r="Y12" s="114">
        <v>2.5358387308730812</v>
      </c>
      <c r="Z12" s="65">
        <v>-2.912913337585266</v>
      </c>
      <c r="AA12" s="65">
        <v>-16.252596175945044</v>
      </c>
      <c r="AB12" s="65">
        <v>4.2924849900115873</v>
      </c>
      <c r="AC12" s="65">
        <v>0</v>
      </c>
      <c r="AD12" s="65">
        <v>0</v>
      </c>
      <c r="AE12" s="65">
        <v>0</v>
      </c>
      <c r="AF12" s="65">
        <v>-1.25</v>
      </c>
      <c r="AG12" s="65">
        <v>-12.732026143790847</v>
      </c>
      <c r="AH12" s="65">
        <v>2.9820261437908471</v>
      </c>
      <c r="AI12" s="65">
        <v>-1.875</v>
      </c>
      <c r="AJ12" s="65">
        <v>-13.968783667313076</v>
      </c>
      <c r="AK12" s="65">
        <v>4.4461951447245553</v>
      </c>
      <c r="AL12" s="272">
        <v>85.377413992128481</v>
      </c>
      <c r="AM12" s="272">
        <v>9.0275418674135945</v>
      </c>
      <c r="AN12" s="272">
        <v>5.595044140457917</v>
      </c>
      <c r="AO12" s="72">
        <v>14.622586007871512</v>
      </c>
      <c r="AP12">
        <v>-1.8521390841915775</v>
      </c>
      <c r="AQ12">
        <v>-3.9917467767294141</v>
      </c>
      <c r="AR12">
        <v>-0.4572019223167274</v>
      </c>
      <c r="AS12">
        <v>-3.1021390841915917</v>
      </c>
      <c r="AT12">
        <v>-16.063294722418789</v>
      </c>
      <c r="AU12">
        <v>2.5477509348417442</v>
      </c>
      <c r="AV12">
        <v>-2.7837069578903737</v>
      </c>
      <c r="AW12">
        <v>-15.932227829963395</v>
      </c>
      <c r="AX12">
        <v>4.2060133211186184</v>
      </c>
      <c r="AY12" s="1">
        <v>0</v>
      </c>
      <c r="AZ12" s="1">
        <v>0</v>
      </c>
      <c r="BA12" s="1">
        <v>0</v>
      </c>
      <c r="BB12" s="1">
        <v>-1.25</v>
      </c>
      <c r="BC12" s="1">
        <v>-12.732026143790847</v>
      </c>
      <c r="BD12" s="1">
        <v>2.9820261437908471</v>
      </c>
      <c r="BE12" s="1">
        <v>-1.875</v>
      </c>
      <c r="BF12" s="1">
        <v>-13.968783667313076</v>
      </c>
      <c r="BG12" s="164">
        <v>4.4461951447245553</v>
      </c>
      <c r="BH12" s="60">
        <v>88.822917450658494</v>
      </c>
      <c r="BI12" s="24">
        <v>5.5820384088835917</v>
      </c>
      <c r="BJ12" s="24">
        <v>5.595044140457917</v>
      </c>
      <c r="BK12" s="25">
        <v>11.17708254934151</v>
      </c>
      <c r="BL12" s="215" t="s">
        <v>870</v>
      </c>
      <c r="BN12" s="453">
        <v>0.814614493</v>
      </c>
      <c r="BO12" s="454">
        <v>3.417435888</v>
      </c>
      <c r="BP12" s="454">
        <v>5.536566315</v>
      </c>
      <c r="BQ12" s="454">
        <v>4.1996692729999996</v>
      </c>
      <c r="BR12" s="501">
        <v>1.349796827</v>
      </c>
      <c r="BS12" s="76" t="s">
        <v>220</v>
      </c>
      <c r="BT12" s="76" t="s">
        <v>220</v>
      </c>
      <c r="BU12" s="76" t="s">
        <v>220</v>
      </c>
      <c r="BV12" s="76" t="s">
        <v>220</v>
      </c>
      <c r="BW12" s="76" t="s">
        <v>220</v>
      </c>
      <c r="BX12" s="75" t="s">
        <v>220</v>
      </c>
      <c r="BY12" s="76" t="s">
        <v>220</v>
      </c>
      <c r="BZ12" s="76" t="s">
        <v>220</v>
      </c>
      <c r="CA12" s="76" t="s">
        <v>220</v>
      </c>
      <c r="CB12" s="267" t="s">
        <v>220</v>
      </c>
      <c r="CC12" s="76">
        <v>0.814614493</v>
      </c>
      <c r="CD12" s="76">
        <v>3.417435888</v>
      </c>
      <c r="CE12" s="76">
        <v>5.536566315</v>
      </c>
      <c r="CF12" s="76">
        <v>4.1996692729999996</v>
      </c>
      <c r="CG12" s="76">
        <v>1.349796827</v>
      </c>
      <c r="CH12" s="26"/>
      <c r="CI12" s="77"/>
      <c r="CJ12" s="68"/>
    </row>
    <row r="13" spans="1:130" ht="14.4" customHeight="1" x14ac:dyDescent="0.3">
      <c r="A13" s="146" t="s">
        <v>756</v>
      </c>
      <c r="B13" s="311" t="s">
        <v>757</v>
      </c>
      <c r="C13" s="146" t="s">
        <v>811</v>
      </c>
      <c r="D13" s="336" t="s">
        <v>822</v>
      </c>
      <c r="E13" s="130" t="s">
        <v>186</v>
      </c>
      <c r="F13" s="130" t="s">
        <v>769</v>
      </c>
      <c r="G13" s="255" t="s">
        <v>215</v>
      </c>
      <c r="H13" s="196"/>
      <c r="I13" s="199"/>
      <c r="J13" s="154" t="s">
        <v>192</v>
      </c>
      <c r="K13" s="270"/>
      <c r="L13" s="154"/>
      <c r="M13" s="154"/>
      <c r="N13" s="154"/>
      <c r="O13" s="154"/>
      <c r="P13" s="420"/>
      <c r="Q13" s="420"/>
      <c r="R13" s="154"/>
      <c r="S13" s="415">
        <v>5.0999999999999996</v>
      </c>
      <c r="T13" s="65">
        <v>-1.8443751472565424</v>
      </c>
      <c r="U13" s="65">
        <v>-4.4540498710373981</v>
      </c>
      <c r="V13" s="65">
        <v>-0.35814061856841306</v>
      </c>
      <c r="W13" s="114">
        <v>-3.0943751472565566</v>
      </c>
      <c r="X13" s="114">
        <v>-16.275289122222233</v>
      </c>
      <c r="Y13" s="114">
        <v>2.6539708480897843</v>
      </c>
      <c r="Z13" s="65">
        <v>-2.7320154284815459</v>
      </c>
      <c r="AA13" s="65">
        <v>-15.887915066410272</v>
      </c>
      <c r="AB13" s="65">
        <v>4.416976537232685</v>
      </c>
      <c r="AC13" s="65">
        <v>0</v>
      </c>
      <c r="AD13" s="65">
        <v>0</v>
      </c>
      <c r="AE13" s="65">
        <v>0</v>
      </c>
      <c r="AF13" s="65">
        <v>-1.25</v>
      </c>
      <c r="AG13" s="65">
        <v>-12.732026143790847</v>
      </c>
      <c r="AH13" s="65">
        <v>2.9820261437908471</v>
      </c>
      <c r="AI13" s="65">
        <v>-1.875</v>
      </c>
      <c r="AJ13" s="65">
        <v>-13.968783667313076</v>
      </c>
      <c r="AK13" s="65">
        <v>4.4461951447245553</v>
      </c>
      <c r="AL13" s="272">
        <v>86.422450652185844</v>
      </c>
      <c r="AM13" s="272">
        <v>9.6020370285169871</v>
      </c>
      <c r="AN13" s="272">
        <v>3.9755123192971658</v>
      </c>
      <c r="AO13" s="72">
        <v>13.577549347814152</v>
      </c>
      <c r="AP13" s="41">
        <v>-1.5217834704847348</v>
      </c>
      <c r="AQ13" s="41">
        <v>-3.4663167735562439</v>
      </c>
      <c r="AR13" s="41">
        <v>-0.33782141307503366</v>
      </c>
      <c r="AS13" s="41">
        <v>-2.771783470484749</v>
      </c>
      <c r="AT13" s="41">
        <v>-15.557112267473471</v>
      </c>
      <c r="AU13" s="41">
        <v>2.6658674057098608</v>
      </c>
      <c r="AV13" s="41">
        <v>-2.6029787577728172</v>
      </c>
      <c r="AW13" s="41">
        <v>-15.567967515340783</v>
      </c>
      <c r="AX13" s="41">
        <v>4.3306184464717887</v>
      </c>
      <c r="AY13" s="65">
        <v>0</v>
      </c>
      <c r="AZ13" s="65">
        <v>0</v>
      </c>
      <c r="BA13" s="65">
        <v>0</v>
      </c>
      <c r="BB13" s="65">
        <v>-1.25</v>
      </c>
      <c r="BC13" s="65">
        <v>-12.732026143790847</v>
      </c>
      <c r="BD13" s="65">
        <v>2.9820261437908471</v>
      </c>
      <c r="BE13" s="65">
        <v>-1.875</v>
      </c>
      <c r="BF13" s="65">
        <v>-13.968783667313076</v>
      </c>
      <c r="BG13" s="164">
        <v>4.4461951447245553</v>
      </c>
      <c r="BH13" s="60">
        <v>89.863428537751687</v>
      </c>
      <c r="BI13" s="60">
        <v>6.1610591429511485</v>
      </c>
      <c r="BJ13" s="60">
        <v>3.9755123192971658</v>
      </c>
      <c r="BK13" s="59">
        <v>10.136571462248314</v>
      </c>
      <c r="BL13" s="215" t="s">
        <v>870</v>
      </c>
      <c r="BN13" s="453">
        <v>0.25592714799999999</v>
      </c>
      <c r="BO13" s="454">
        <v>3.4321714889999999</v>
      </c>
      <c r="BP13" s="454">
        <v>6.1452913200000001</v>
      </c>
      <c r="BQ13" s="454">
        <v>3.599967232</v>
      </c>
      <c r="BR13" s="501">
        <v>0.36537067200000001</v>
      </c>
      <c r="BS13" s="76" t="s">
        <v>220</v>
      </c>
      <c r="BT13" s="76" t="s">
        <v>220</v>
      </c>
      <c r="BU13" s="76" t="s">
        <v>220</v>
      </c>
      <c r="BV13" s="76" t="s">
        <v>220</v>
      </c>
      <c r="BW13" s="76" t="s">
        <v>220</v>
      </c>
      <c r="BX13" s="75" t="s">
        <v>220</v>
      </c>
      <c r="BY13" s="76" t="s">
        <v>220</v>
      </c>
      <c r="BZ13" s="76" t="s">
        <v>220</v>
      </c>
      <c r="CA13" s="76" t="s">
        <v>220</v>
      </c>
      <c r="CB13" s="267" t="s">
        <v>220</v>
      </c>
      <c r="CC13" s="76">
        <v>0.25592714799999999</v>
      </c>
      <c r="CD13" s="76">
        <v>3.4321714889999999</v>
      </c>
      <c r="CE13" s="76">
        <v>6.1452913200000001</v>
      </c>
      <c r="CF13" s="76">
        <v>3.599967232</v>
      </c>
      <c r="CG13" s="76">
        <v>0.36537067200000001</v>
      </c>
      <c r="CH13" s="26"/>
      <c r="CI13" s="77"/>
      <c r="CJ13" s="68"/>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0"/>
    </row>
    <row r="14" spans="1:130" ht="14.4" customHeight="1" x14ac:dyDescent="0.3">
      <c r="A14" s="124" t="s">
        <v>756</v>
      </c>
      <c r="B14" s="262" t="s">
        <v>757</v>
      </c>
      <c r="C14" s="124" t="s">
        <v>811</v>
      </c>
      <c r="D14" s="265" t="s">
        <v>812</v>
      </c>
      <c r="E14" s="130" t="s">
        <v>186</v>
      </c>
      <c r="F14" s="130" t="s">
        <v>769</v>
      </c>
      <c r="G14" s="255" t="s">
        <v>215</v>
      </c>
      <c r="H14" s="196"/>
      <c r="I14" s="199"/>
      <c r="J14" s="154" t="s">
        <v>192</v>
      </c>
      <c r="K14" s="270"/>
      <c r="L14" s="154"/>
      <c r="M14" s="154"/>
      <c r="N14" s="154"/>
      <c r="O14" s="154"/>
      <c r="P14" s="154"/>
      <c r="Q14" s="154"/>
      <c r="R14" s="154"/>
      <c r="S14" s="415">
        <v>5.2</v>
      </c>
      <c r="T14" s="65">
        <v>-3.4452750671682111</v>
      </c>
      <c r="U14" s="65">
        <v>-8.2368490743590712</v>
      </c>
      <c r="V14" s="65">
        <v>-0.68589041795786443</v>
      </c>
      <c r="W14" s="30">
        <v>-4.6952750671682111</v>
      </c>
      <c r="X14" s="30">
        <v>-19.311527797942688</v>
      </c>
      <c r="Y14" s="114">
        <v>2.3510736951567139</v>
      </c>
      <c r="Z14" s="65">
        <v>-3.4842202290199964</v>
      </c>
      <c r="AA14" s="65">
        <v>-17.559975060419333</v>
      </c>
      <c r="AB14" s="65">
        <v>4.3551172520398893</v>
      </c>
      <c r="AC14" s="65">
        <v>0</v>
      </c>
      <c r="AD14" s="65">
        <v>0</v>
      </c>
      <c r="AE14" s="65">
        <v>0</v>
      </c>
      <c r="AF14" s="65">
        <v>-1.25</v>
      </c>
      <c r="AG14" s="65">
        <v>-12.732026143790847</v>
      </c>
      <c r="AH14" s="65">
        <v>2.9820261437908471</v>
      </c>
      <c r="AI14" s="65">
        <v>-1.875</v>
      </c>
      <c r="AJ14" s="65">
        <v>-13.968783667313076</v>
      </c>
      <c r="AK14" s="65">
        <v>4.4461951447245553</v>
      </c>
      <c r="AL14" s="272">
        <v>75.062698504677428</v>
      </c>
      <c r="AM14" s="272">
        <v>17.233628090232365</v>
      </c>
      <c r="AN14" s="272">
        <v>7.7036734050902016</v>
      </c>
      <c r="AO14" s="72">
        <v>24.937301495322565</v>
      </c>
      <c r="AP14">
        <v>-2.7804896991486601</v>
      </c>
      <c r="AQ14">
        <v>-6.2013641006453781</v>
      </c>
      <c r="AR14">
        <v>-0.64401732737799477</v>
      </c>
      <c r="AS14">
        <v>-4.0304896991486601</v>
      </c>
      <c r="AT14">
        <v>-17.831534670206125</v>
      </c>
      <c r="AU14">
        <v>2.3755896948091504</v>
      </c>
      <c r="AV14">
        <v>-3.2183060818121731</v>
      </c>
      <c r="AW14">
        <v>-16.900638611899794</v>
      </c>
      <c r="AX14">
        <v>4.1771535930811581</v>
      </c>
      <c r="AY14" s="1">
        <v>0</v>
      </c>
      <c r="AZ14" s="1">
        <v>0</v>
      </c>
      <c r="BA14" s="1">
        <v>0</v>
      </c>
      <c r="BB14" s="1">
        <v>-1.25</v>
      </c>
      <c r="BC14" s="1">
        <v>-12.732026143790847</v>
      </c>
      <c r="BD14" s="1">
        <v>2.9820261437908471</v>
      </c>
      <c r="BE14" s="1">
        <v>-1.875</v>
      </c>
      <c r="BF14" s="1">
        <v>-13.968783667313076</v>
      </c>
      <c r="BG14" s="164">
        <v>4.4461951447245553</v>
      </c>
      <c r="BH14" s="60">
        <v>82.153742430219282</v>
      </c>
      <c r="BI14" s="24">
        <v>10.142584164690517</v>
      </c>
      <c r="BJ14" s="24">
        <v>7.7036734050902016</v>
      </c>
      <c r="BK14" s="25">
        <v>17.846257569780718</v>
      </c>
      <c r="BL14" s="215" t="s">
        <v>870</v>
      </c>
      <c r="BN14" s="453">
        <v>0.35859416199999999</v>
      </c>
      <c r="BO14" s="454">
        <v>7.065615856</v>
      </c>
      <c r="BP14" s="454">
        <v>10.10621345</v>
      </c>
      <c r="BQ14" s="454">
        <v>6.5317500690000001</v>
      </c>
      <c r="BR14" s="501">
        <v>1.144298413</v>
      </c>
      <c r="BS14" s="76" t="s">
        <v>220</v>
      </c>
      <c r="BT14" s="76" t="s">
        <v>220</v>
      </c>
      <c r="BU14" s="76" t="s">
        <v>220</v>
      </c>
      <c r="BV14" s="76" t="s">
        <v>220</v>
      </c>
      <c r="BW14" s="76" t="s">
        <v>220</v>
      </c>
      <c r="BX14" s="75" t="s">
        <v>220</v>
      </c>
      <c r="BY14" s="76" t="s">
        <v>220</v>
      </c>
      <c r="BZ14" s="76" t="s">
        <v>220</v>
      </c>
      <c r="CA14" s="76" t="s">
        <v>220</v>
      </c>
      <c r="CB14" s="267" t="s">
        <v>220</v>
      </c>
      <c r="CC14" s="76">
        <v>0.35859416199999999</v>
      </c>
      <c r="CD14" s="76">
        <v>7.065615856</v>
      </c>
      <c r="CE14" s="76">
        <v>10.10621345</v>
      </c>
      <c r="CF14" s="76">
        <v>6.5317500690000001</v>
      </c>
      <c r="CG14" s="76">
        <v>1.144298413</v>
      </c>
      <c r="CH14" s="26"/>
      <c r="CI14" s="77"/>
      <c r="CJ14" s="68"/>
    </row>
    <row r="15" spans="1:130" ht="14.4" customHeight="1" x14ac:dyDescent="0.3">
      <c r="A15" s="124" t="s">
        <v>756</v>
      </c>
      <c r="B15" s="262" t="s">
        <v>757</v>
      </c>
      <c r="C15" s="124" t="s">
        <v>811</v>
      </c>
      <c r="D15" s="265" t="s">
        <v>821</v>
      </c>
      <c r="E15" s="130" t="s">
        <v>186</v>
      </c>
      <c r="F15" s="130" t="s">
        <v>769</v>
      </c>
      <c r="G15" s="255" t="s">
        <v>215</v>
      </c>
      <c r="H15" s="196"/>
      <c r="I15" s="199"/>
      <c r="J15" s="154" t="s">
        <v>192</v>
      </c>
      <c r="K15" s="270"/>
      <c r="L15" s="154"/>
      <c r="M15" s="154"/>
      <c r="N15" s="154"/>
      <c r="O15" s="154"/>
      <c r="P15" s="154"/>
      <c r="Q15" s="154"/>
      <c r="R15" s="154"/>
      <c r="S15" s="415">
        <v>5.3</v>
      </c>
      <c r="T15" s="65">
        <v>-1.9706599153878415</v>
      </c>
      <c r="U15" s="65">
        <v>-4.4269474779752755</v>
      </c>
      <c r="V15" s="65">
        <v>-0.45000423211214979</v>
      </c>
      <c r="W15" s="30">
        <v>-3.2206599153878415</v>
      </c>
      <c r="X15" s="30">
        <v>-16.361260487985362</v>
      </c>
      <c r="Y15" s="114">
        <v>2.5591381477487545</v>
      </c>
      <c r="Z15" s="65">
        <v>-2.8238879415860225</v>
      </c>
      <c r="AA15" s="65">
        <v>-16.044330958372925</v>
      </c>
      <c r="AB15" s="65">
        <v>4.2694322242750218</v>
      </c>
      <c r="AC15" s="65">
        <v>0</v>
      </c>
      <c r="AD15" s="65">
        <v>0</v>
      </c>
      <c r="AE15" s="65">
        <v>0</v>
      </c>
      <c r="AF15" s="65">
        <v>-1.25</v>
      </c>
      <c r="AG15" s="65">
        <v>-12.732026143790847</v>
      </c>
      <c r="AH15" s="65">
        <v>2.9820261437908471</v>
      </c>
      <c r="AI15" s="65">
        <v>-1.875</v>
      </c>
      <c r="AJ15" s="65">
        <v>-13.968783667313076</v>
      </c>
      <c r="AK15" s="65">
        <v>4.4461951447245553</v>
      </c>
      <c r="AL15" s="272">
        <v>87.189297424552663</v>
      </c>
      <c r="AM15" s="272">
        <v>7.4565700610845003</v>
      </c>
      <c r="AN15" s="272">
        <v>5.3541325143628402</v>
      </c>
      <c r="AO15" s="72">
        <v>12.81070257544734</v>
      </c>
      <c r="AP15">
        <v>-1.7017029835720621</v>
      </c>
      <c r="AQ15">
        <v>-3.6034368839949735</v>
      </c>
      <c r="AR15">
        <v>-0.43306333884076764</v>
      </c>
      <c r="AS15">
        <v>-2.9517029835720479</v>
      </c>
      <c r="AT15">
        <v>-15.762489170363963</v>
      </c>
      <c r="AU15">
        <v>2.5690567596257807</v>
      </c>
      <c r="AV15">
        <v>-2.7163051688597193</v>
      </c>
      <c r="AW15">
        <v>-15.777578534569685</v>
      </c>
      <c r="AX15">
        <v>4.1974322044327295</v>
      </c>
      <c r="AY15" s="1">
        <v>0</v>
      </c>
      <c r="AZ15" s="1">
        <v>0</v>
      </c>
      <c r="BA15" s="1">
        <v>0</v>
      </c>
      <c r="BB15" s="1">
        <v>-1.25</v>
      </c>
      <c r="BC15" s="1">
        <v>-12.732026143790847</v>
      </c>
      <c r="BD15" s="1">
        <v>2.9820261437908471</v>
      </c>
      <c r="BE15" s="1">
        <v>-1.875</v>
      </c>
      <c r="BF15" s="1">
        <v>-13.968783667313076</v>
      </c>
      <c r="BG15" s="164">
        <v>4.4461951447245553</v>
      </c>
      <c r="BH15" s="60">
        <v>90.058171363921218</v>
      </c>
      <c r="BI15" s="24">
        <v>4.5876961217159291</v>
      </c>
      <c r="BJ15" s="24">
        <v>5.3541325143628402</v>
      </c>
      <c r="BK15" s="25">
        <v>9.9418286360787693</v>
      </c>
      <c r="BL15" s="215" t="s">
        <v>870</v>
      </c>
      <c r="BN15" s="453">
        <v>0.902023927</v>
      </c>
      <c r="BO15" s="454">
        <v>2.8429960099999998</v>
      </c>
      <c r="BP15" s="454">
        <v>4.5463140050000002</v>
      </c>
      <c r="BQ15" s="454">
        <v>3.7777655970000001</v>
      </c>
      <c r="BR15" s="501">
        <v>1.5280713610000001</v>
      </c>
      <c r="BS15" s="76" t="s">
        <v>220</v>
      </c>
      <c r="BT15" s="76" t="s">
        <v>220</v>
      </c>
      <c r="BU15" s="76" t="s">
        <v>220</v>
      </c>
      <c r="BV15" s="76" t="s">
        <v>220</v>
      </c>
      <c r="BW15" s="76" t="s">
        <v>220</v>
      </c>
      <c r="BX15" s="75" t="s">
        <v>220</v>
      </c>
      <c r="BY15" s="76" t="s">
        <v>220</v>
      </c>
      <c r="BZ15" s="76" t="s">
        <v>220</v>
      </c>
      <c r="CA15" s="76" t="s">
        <v>220</v>
      </c>
      <c r="CB15" s="267" t="s">
        <v>220</v>
      </c>
      <c r="CC15" s="76">
        <v>0.902023927</v>
      </c>
      <c r="CD15" s="76">
        <v>2.8429960099999998</v>
      </c>
      <c r="CE15" s="76">
        <v>4.5463140050000002</v>
      </c>
      <c r="CF15" s="76">
        <v>3.7777655970000001</v>
      </c>
      <c r="CG15" s="76">
        <v>1.5280713610000001</v>
      </c>
      <c r="CH15" s="26"/>
      <c r="CI15" s="77"/>
      <c r="CJ15" s="68"/>
    </row>
    <row r="16" spans="1:130" ht="14.4" customHeight="1" x14ac:dyDescent="0.3">
      <c r="A16" s="124" t="s">
        <v>756</v>
      </c>
      <c r="B16" s="262" t="s">
        <v>757</v>
      </c>
      <c r="C16" s="124" t="s">
        <v>845</v>
      </c>
      <c r="D16" s="265" t="s">
        <v>846</v>
      </c>
      <c r="E16" s="258" t="s">
        <v>186</v>
      </c>
      <c r="F16" s="258" t="s">
        <v>836</v>
      </c>
      <c r="G16" s="255" t="s">
        <v>211</v>
      </c>
      <c r="H16" s="196"/>
      <c r="I16" s="199"/>
      <c r="J16" s="154" t="s">
        <v>188</v>
      </c>
      <c r="K16" s="270"/>
      <c r="L16" s="154"/>
      <c r="M16" s="154"/>
      <c r="N16" s="154"/>
      <c r="O16" s="154"/>
      <c r="P16" s="420">
        <v>80682</v>
      </c>
      <c r="Q16" s="420">
        <v>852</v>
      </c>
      <c r="R16" s="154"/>
      <c r="S16" s="417"/>
      <c r="T16" s="65"/>
      <c r="U16" s="65"/>
      <c r="V16" s="65"/>
      <c r="W16" s="65"/>
      <c r="X16" s="65"/>
      <c r="Y16" s="65"/>
      <c r="Z16" s="65"/>
      <c r="AA16" s="65"/>
      <c r="AB16" s="65"/>
      <c r="AC16" s="65"/>
      <c r="AD16" s="65"/>
      <c r="AE16" s="65"/>
      <c r="AF16" s="65"/>
      <c r="AG16" s="65"/>
      <c r="AH16" s="65"/>
      <c r="AI16" s="65"/>
      <c r="AJ16" s="65"/>
      <c r="AK16" s="65"/>
      <c r="AL16" s="272">
        <v>50.145208570868832</v>
      </c>
      <c r="AM16" s="71">
        <v>33.840477341536349</v>
      </c>
      <c r="AN16" s="71">
        <v>16.014314087594816</v>
      </c>
      <c r="AO16" s="72">
        <v>49.854791429131168</v>
      </c>
      <c r="AP16" s="1"/>
      <c r="AQ16" s="1"/>
      <c r="AR16" s="1"/>
      <c r="AS16" s="1"/>
      <c r="AT16" s="1"/>
      <c r="AU16" s="1"/>
      <c r="AV16" s="1"/>
      <c r="AW16" s="1"/>
      <c r="AX16" s="1"/>
      <c r="AY16" s="1"/>
      <c r="AZ16" s="1"/>
      <c r="BA16" s="1"/>
      <c r="BB16" s="1"/>
      <c r="BC16" s="1"/>
      <c r="BD16" s="1"/>
      <c r="BE16" s="1"/>
      <c r="BF16" s="1"/>
      <c r="BG16" s="162"/>
      <c r="BH16" s="24">
        <v>61.688229134794582</v>
      </c>
      <c r="BI16" s="24">
        <v>22.297456777610606</v>
      </c>
      <c r="BJ16" s="24">
        <v>16.014314087594816</v>
      </c>
      <c r="BK16" s="25">
        <v>38.311770865205418</v>
      </c>
      <c r="BL16" s="215" t="s">
        <v>868</v>
      </c>
      <c r="BN16" s="453">
        <v>0.31396898000000001</v>
      </c>
      <c r="BO16" s="454">
        <v>11.50677906</v>
      </c>
      <c r="BP16" s="454">
        <v>22.227449679999999</v>
      </c>
      <c r="BQ16" s="454">
        <v>13.965660209999999</v>
      </c>
      <c r="BR16" s="501">
        <v>1.998373899</v>
      </c>
      <c r="BS16" s="76">
        <v>0.31396898000000001</v>
      </c>
      <c r="BT16" s="496">
        <v>11.50677906</v>
      </c>
      <c r="BU16" s="496">
        <v>22.227449679999999</v>
      </c>
      <c r="BV16" s="496">
        <v>13.965660209999999</v>
      </c>
      <c r="BW16" s="496">
        <v>1.998373899</v>
      </c>
      <c r="BX16" s="499">
        <v>0.27501420999999998</v>
      </c>
      <c r="BY16" s="496">
        <v>8.6931556739999998</v>
      </c>
      <c r="BZ16" s="496">
        <v>16.24739486</v>
      </c>
      <c r="CA16" s="496">
        <v>10.27538154</v>
      </c>
      <c r="CB16" s="497">
        <v>1.555546104</v>
      </c>
      <c r="CC16" s="496">
        <v>0.38482852200000001</v>
      </c>
      <c r="CD16" s="496">
        <v>8.6242107019999992</v>
      </c>
      <c r="CE16" s="496">
        <v>17.089933769999998</v>
      </c>
      <c r="CF16" s="496">
        <v>10.768693369999999</v>
      </c>
      <c r="CG16" s="496">
        <v>1.5109115849999999</v>
      </c>
      <c r="CH16" s="26"/>
      <c r="CI16" s="77"/>
      <c r="CJ16" s="68"/>
    </row>
    <row r="17" spans="1:130" ht="14.4" customHeight="1" x14ac:dyDescent="0.3">
      <c r="A17" s="124" t="s">
        <v>756</v>
      </c>
      <c r="B17" s="243" t="s">
        <v>757</v>
      </c>
      <c r="C17" s="243" t="s">
        <v>788</v>
      </c>
      <c r="D17" s="243" t="s">
        <v>789</v>
      </c>
      <c r="E17" s="153" t="s">
        <v>200</v>
      </c>
      <c r="F17" s="394" t="s">
        <v>955</v>
      </c>
      <c r="G17" s="255" t="s">
        <v>211</v>
      </c>
      <c r="H17" s="196"/>
      <c r="I17" s="257"/>
      <c r="J17" s="256" t="s">
        <v>346</v>
      </c>
      <c r="K17" s="271" t="s">
        <v>790</v>
      </c>
      <c r="L17" s="257"/>
      <c r="M17" s="412" t="s">
        <v>954</v>
      </c>
      <c r="N17" s="257"/>
      <c r="O17" s="257"/>
      <c r="P17" s="257"/>
      <c r="Q17" s="412">
        <v>8</v>
      </c>
      <c r="R17" s="257"/>
      <c r="S17" s="415">
        <v>6</v>
      </c>
      <c r="T17" s="65">
        <v>-7.2099129022079467</v>
      </c>
      <c r="U17" s="65">
        <v>-25.046696497658715</v>
      </c>
      <c r="V17" s="65">
        <v>-1.0294058496630782</v>
      </c>
      <c r="W17" s="30">
        <v>-10.233919328755874</v>
      </c>
      <c r="X17" s="30">
        <v>-34.767777630234278</v>
      </c>
      <c r="Y17" s="114">
        <v>0.49239923326165069</v>
      </c>
      <c r="Z17" s="65">
        <v>-11.309895560029233</v>
      </c>
      <c r="AA17" s="65">
        <v>-38.300539722824517</v>
      </c>
      <c r="AB17" s="65">
        <v>4.8235348848336912</v>
      </c>
      <c r="AC17" s="65">
        <v>0</v>
      </c>
      <c r="AD17" s="65">
        <v>0</v>
      </c>
      <c r="AE17" s="65">
        <v>0</v>
      </c>
      <c r="AF17" s="65">
        <v>-3.5714285714285694</v>
      </c>
      <c r="AG17" s="65">
        <v>-13.900093370681603</v>
      </c>
      <c r="AH17" s="65">
        <v>4.3127917833800211</v>
      </c>
      <c r="AI17" s="65">
        <v>-10</v>
      </c>
      <c r="AJ17" s="65">
        <v>-24.583371810262562</v>
      </c>
      <c r="AK17" s="65">
        <v>3.3512071495264735</v>
      </c>
      <c r="AL17" s="272">
        <v>33.396625662545546</v>
      </c>
      <c r="AM17" s="272">
        <v>63.258132355508735</v>
      </c>
      <c r="AN17" s="272">
        <v>3.3452419819457262</v>
      </c>
      <c r="AO17" s="72">
        <v>66.603374337454454</v>
      </c>
      <c r="AP17">
        <v>-6.5590213174754979</v>
      </c>
      <c r="AQ17">
        <v>-22.681299537999024</v>
      </c>
      <c r="AR17">
        <v>-0.93721607697814591</v>
      </c>
      <c r="AS17">
        <v>-9.6295200000757433</v>
      </c>
      <c r="AT17">
        <v>-32.777952375881696</v>
      </c>
      <c r="AU17">
        <v>0.85725721146290823</v>
      </c>
      <c r="AV17">
        <v>-11.216911047924611</v>
      </c>
      <c r="AW17">
        <v>-36.990795380398701</v>
      </c>
      <c r="AX17">
        <v>4.6438514374713407</v>
      </c>
      <c r="AY17" s="1">
        <v>0</v>
      </c>
      <c r="AZ17" s="1">
        <v>0</v>
      </c>
      <c r="BA17" s="1">
        <v>0</v>
      </c>
      <c r="BB17" s="1">
        <v>-3.5714285714285694</v>
      </c>
      <c r="BC17" s="1">
        <v>-13.900093370681603</v>
      </c>
      <c r="BD17" s="1">
        <v>4.3127917833800211</v>
      </c>
      <c r="BE17" s="1">
        <v>-10</v>
      </c>
      <c r="BF17" s="1">
        <v>-24.583371810262562</v>
      </c>
      <c r="BG17" s="164">
        <v>3.3512071495264735</v>
      </c>
      <c r="BH17" s="60">
        <v>39.905541509870119</v>
      </c>
      <c r="BI17" s="24">
        <v>56.749216508184155</v>
      </c>
      <c r="BJ17" s="24">
        <v>3.3452419819457262</v>
      </c>
      <c r="BK17" s="25">
        <v>60.094458490129881</v>
      </c>
      <c r="BL17" s="215" t="s">
        <v>870</v>
      </c>
      <c r="BM17" s="163"/>
      <c r="BN17" s="453">
        <v>0.33470334899999998</v>
      </c>
      <c r="BO17" s="454">
        <v>6.4871302880000004</v>
      </c>
      <c r="BP17" s="454">
        <v>56.559274979999998</v>
      </c>
      <c r="BQ17" s="454">
        <v>3.3340453449999998</v>
      </c>
      <c r="BR17" s="501">
        <v>0</v>
      </c>
      <c r="BS17" s="76" t="s">
        <v>220</v>
      </c>
      <c r="BT17" s="76" t="s">
        <v>220</v>
      </c>
      <c r="BU17" s="76" t="s">
        <v>220</v>
      </c>
      <c r="BV17" s="76" t="s">
        <v>220</v>
      </c>
      <c r="BW17" s="76" t="s">
        <v>220</v>
      </c>
      <c r="BX17" s="75" t="s">
        <v>220</v>
      </c>
      <c r="BY17" s="76" t="s">
        <v>220</v>
      </c>
      <c r="BZ17" s="76" t="s">
        <v>220</v>
      </c>
      <c r="CA17" s="76" t="s">
        <v>220</v>
      </c>
      <c r="CB17" s="267" t="s">
        <v>220</v>
      </c>
      <c r="CC17" s="76">
        <v>0.33470334899999998</v>
      </c>
      <c r="CD17" s="76">
        <v>6.4871302880000004</v>
      </c>
      <c r="CE17" s="76">
        <v>56.559274979999998</v>
      </c>
      <c r="CF17" s="76">
        <v>3.3340453449999998</v>
      </c>
      <c r="CG17" s="76">
        <v>0</v>
      </c>
      <c r="CH17" s="26"/>
      <c r="CI17" s="77"/>
      <c r="CJ17" s="68"/>
    </row>
    <row r="18" spans="1:130" ht="13.2" customHeight="1" x14ac:dyDescent="0.3">
      <c r="A18" s="124" t="s">
        <v>756</v>
      </c>
      <c r="B18" s="262" t="s">
        <v>757</v>
      </c>
      <c r="C18" s="262" t="s">
        <v>847</v>
      </c>
      <c r="D18" s="263" t="s">
        <v>848</v>
      </c>
      <c r="E18" s="258" t="s">
        <v>186</v>
      </c>
      <c r="F18" s="258" t="s">
        <v>836</v>
      </c>
      <c r="G18" s="255" t="s">
        <v>211</v>
      </c>
      <c r="H18" s="196" t="s">
        <v>849</v>
      </c>
      <c r="I18" s="257"/>
      <c r="J18" s="256" t="s">
        <v>188</v>
      </c>
      <c r="K18" s="268"/>
      <c r="L18" s="256"/>
      <c r="M18" s="256"/>
      <c r="N18" s="256"/>
      <c r="O18" s="256"/>
      <c r="P18" s="418">
        <v>584759</v>
      </c>
      <c r="Q18" s="418">
        <v>6824</v>
      </c>
      <c r="R18" s="256"/>
      <c r="S18" s="416"/>
      <c r="T18" s="65"/>
      <c r="U18" s="65"/>
      <c r="V18" s="65"/>
      <c r="W18" s="65"/>
      <c r="X18" s="65"/>
      <c r="Y18" s="65"/>
      <c r="Z18" s="65"/>
      <c r="AA18" s="65"/>
      <c r="AB18" s="65"/>
      <c r="AC18" s="65"/>
      <c r="AD18" s="65"/>
      <c r="AE18" s="65"/>
      <c r="AF18" s="65"/>
      <c r="AG18" s="65"/>
      <c r="AH18" s="65"/>
      <c r="AI18" s="65"/>
      <c r="AJ18" s="65"/>
      <c r="AK18" s="65"/>
      <c r="AL18" s="272">
        <v>59.29535676804543</v>
      </c>
      <c r="AM18" s="71">
        <v>22.512210511715605</v>
      </c>
      <c r="AN18" s="71">
        <v>18.192432720238966</v>
      </c>
      <c r="AO18" s="72">
        <v>40.70464323195457</v>
      </c>
      <c r="AP18" s="1"/>
      <c r="AQ18" s="1"/>
      <c r="AR18" s="1"/>
      <c r="AS18" s="1"/>
      <c r="AT18" s="1"/>
      <c r="AU18" s="1"/>
      <c r="AV18" s="1"/>
      <c r="AW18" s="1"/>
      <c r="AX18" s="1"/>
      <c r="AY18" s="1"/>
      <c r="AZ18" s="1"/>
      <c r="BA18" s="1"/>
      <c r="BB18" s="1"/>
      <c r="BC18" s="1"/>
      <c r="BD18" s="1"/>
      <c r="BE18" s="1"/>
      <c r="BF18" s="1"/>
      <c r="BG18" s="162"/>
      <c r="BH18" s="24">
        <v>67.578035850063728</v>
      </c>
      <c r="BI18" s="24">
        <v>14.229531429697309</v>
      </c>
      <c r="BJ18" s="24">
        <v>18.192432720238966</v>
      </c>
      <c r="BK18" s="25">
        <v>32.421964149936272</v>
      </c>
      <c r="BL18" s="215" t="s">
        <v>868</v>
      </c>
      <c r="BN18" s="453">
        <v>1.995245951</v>
      </c>
      <c r="BO18" s="454">
        <v>8.1174192630000004</v>
      </c>
      <c r="BP18" s="454">
        <v>13.94561728</v>
      </c>
      <c r="BQ18" s="454">
        <v>11.93007122</v>
      </c>
      <c r="BR18" s="501">
        <v>5.8993777229999997</v>
      </c>
      <c r="BS18" s="76">
        <v>1.995245951</v>
      </c>
      <c r="BT18" s="496">
        <v>8.1174192630000004</v>
      </c>
      <c r="BU18" s="496">
        <v>13.94561728</v>
      </c>
      <c r="BV18" s="496">
        <v>11.93007122</v>
      </c>
      <c r="BW18" s="496">
        <v>5.8993777229999997</v>
      </c>
      <c r="BX18" s="499">
        <v>1.448847896</v>
      </c>
      <c r="BY18" s="496">
        <v>6.8996857919999997</v>
      </c>
      <c r="BZ18" s="496">
        <v>11.72850115</v>
      </c>
      <c r="CA18" s="496">
        <v>9.6430679549999994</v>
      </c>
      <c r="CB18" s="497">
        <v>4.589749361</v>
      </c>
      <c r="CC18" s="496">
        <v>1.730888269</v>
      </c>
      <c r="CD18" s="496">
        <v>6.4022402329999997</v>
      </c>
      <c r="CE18" s="496">
        <v>10.95623104</v>
      </c>
      <c r="CF18" s="496">
        <v>9.0615842309999994</v>
      </c>
      <c r="CG18" s="496">
        <v>4.3358373500000003</v>
      </c>
      <c r="CH18" s="26"/>
      <c r="CI18" s="77"/>
      <c r="CJ18" s="68"/>
    </row>
    <row r="19" spans="1:130" ht="12.6" customHeight="1" x14ac:dyDescent="0.3">
      <c r="A19" s="124" t="s">
        <v>756</v>
      </c>
      <c r="B19" s="243" t="s">
        <v>757</v>
      </c>
      <c r="C19" s="243" t="s">
        <v>850</v>
      </c>
      <c r="D19" s="261" t="s">
        <v>851</v>
      </c>
      <c r="E19" s="258" t="s">
        <v>186</v>
      </c>
      <c r="F19" s="258" t="s">
        <v>836</v>
      </c>
      <c r="G19" s="255" t="s">
        <v>211</v>
      </c>
      <c r="H19" s="196" t="s">
        <v>852</v>
      </c>
      <c r="I19" s="257"/>
      <c r="J19" s="256" t="s">
        <v>188</v>
      </c>
      <c r="K19" s="268"/>
      <c r="L19" s="256"/>
      <c r="M19" s="256"/>
      <c r="N19" s="256"/>
      <c r="O19" s="256"/>
      <c r="P19" s="418">
        <v>118007</v>
      </c>
      <c r="Q19" s="418">
        <v>892</v>
      </c>
      <c r="R19" s="256"/>
      <c r="S19" s="589"/>
      <c r="T19" s="65"/>
      <c r="U19" s="65"/>
      <c r="V19" s="65"/>
      <c r="W19" s="65"/>
      <c r="X19" s="65"/>
      <c r="Y19" s="65"/>
      <c r="Z19" s="65"/>
      <c r="AA19" s="65"/>
      <c r="AB19" s="65"/>
      <c r="AC19" s="65"/>
      <c r="AD19" s="65"/>
      <c r="AE19" s="65"/>
      <c r="AF19" s="65"/>
      <c r="AG19" s="65"/>
      <c r="AH19" s="65"/>
      <c r="AI19" s="65"/>
      <c r="AJ19" s="65"/>
      <c r="AK19" s="65"/>
      <c r="AL19" s="272">
        <v>60.112859059316548</v>
      </c>
      <c r="AM19" s="272">
        <v>25.479104647538968</v>
      </c>
      <c r="AN19" s="272">
        <v>14.40803629314448</v>
      </c>
      <c r="AO19" s="72">
        <v>39.887140940683452</v>
      </c>
      <c r="AP19" s="1"/>
      <c r="AQ19" s="1"/>
      <c r="AR19" s="1"/>
      <c r="AS19" s="1"/>
      <c r="AT19" s="1"/>
      <c r="AU19" s="1"/>
      <c r="AV19" s="1"/>
      <c r="AW19" s="1"/>
      <c r="AX19" s="1"/>
      <c r="AY19" s="1"/>
      <c r="AZ19" s="1"/>
      <c r="BA19" s="1"/>
      <c r="BB19" s="1"/>
      <c r="BC19" s="1"/>
      <c r="BD19" s="1"/>
      <c r="BE19" s="1"/>
      <c r="BF19" s="1"/>
      <c r="BG19" s="162"/>
      <c r="BH19" s="24">
        <v>70.309302904136416</v>
      </c>
      <c r="BI19" s="24">
        <v>15.282660802719105</v>
      </c>
      <c r="BJ19" s="24">
        <v>14.40803629314448</v>
      </c>
      <c r="BK19" s="25">
        <v>29.690697095863584</v>
      </c>
      <c r="BL19" s="215" t="s">
        <v>870</v>
      </c>
      <c r="BN19" s="453">
        <v>0.81107703900000006</v>
      </c>
      <c r="BO19" s="454">
        <v>10.11374283</v>
      </c>
      <c r="BP19" s="454">
        <v>15.158706649999999</v>
      </c>
      <c r="BQ19" s="454">
        <v>11.162064409999999</v>
      </c>
      <c r="BR19" s="501">
        <v>3.1291116090000002</v>
      </c>
      <c r="BS19" s="76" t="s">
        <v>220</v>
      </c>
      <c r="BT19" s="76" t="s">
        <v>220</v>
      </c>
      <c r="BU19" s="76" t="s">
        <v>220</v>
      </c>
      <c r="BV19" s="76" t="s">
        <v>220</v>
      </c>
      <c r="BW19" s="76" t="s">
        <v>220</v>
      </c>
      <c r="BX19" s="75" t="s">
        <v>220</v>
      </c>
      <c r="BY19" s="76" t="s">
        <v>220</v>
      </c>
      <c r="BZ19" s="76" t="s">
        <v>220</v>
      </c>
      <c r="CA19" s="76" t="s">
        <v>220</v>
      </c>
      <c r="CB19" s="267" t="s">
        <v>220</v>
      </c>
      <c r="CC19" s="76">
        <v>0.81107703900000006</v>
      </c>
      <c r="CD19" s="76">
        <v>10.11374283</v>
      </c>
      <c r="CE19" s="76">
        <v>15.158706649999999</v>
      </c>
      <c r="CF19" s="76">
        <v>11.162064409999999</v>
      </c>
      <c r="CG19" s="76">
        <v>3.1291116090000002</v>
      </c>
      <c r="CH19" s="26"/>
      <c r="CI19" s="77"/>
      <c r="CJ19" s="68"/>
    </row>
    <row r="20" spans="1:130" ht="12.6" customHeight="1" x14ac:dyDescent="0.3">
      <c r="A20" s="124" t="s">
        <v>756</v>
      </c>
      <c r="B20" s="243" t="s">
        <v>757</v>
      </c>
      <c r="C20" s="243" t="s">
        <v>850</v>
      </c>
      <c r="D20" s="261" t="s">
        <v>853</v>
      </c>
      <c r="E20" s="258" t="s">
        <v>186</v>
      </c>
      <c r="F20" s="258" t="s">
        <v>836</v>
      </c>
      <c r="G20" s="255" t="s">
        <v>215</v>
      </c>
      <c r="H20" s="196" t="s">
        <v>852</v>
      </c>
      <c r="I20" s="257"/>
      <c r="J20" s="256" t="s">
        <v>192</v>
      </c>
      <c r="K20" s="269"/>
      <c r="L20" s="152"/>
      <c r="M20" s="152"/>
      <c r="N20" s="152"/>
      <c r="O20" s="152"/>
      <c r="P20" s="152"/>
      <c r="Q20" s="152"/>
      <c r="R20" s="152"/>
      <c r="S20" s="589"/>
      <c r="T20" s="65"/>
      <c r="U20" s="65"/>
      <c r="V20" s="65"/>
      <c r="W20" s="65"/>
      <c r="X20" s="65"/>
      <c r="Y20" s="65"/>
      <c r="Z20" s="65"/>
      <c r="AA20" s="65"/>
      <c r="AB20" s="65"/>
      <c r="AC20" s="65"/>
      <c r="AD20" s="65"/>
      <c r="AE20" s="65"/>
      <c r="AF20" s="65"/>
      <c r="AG20" s="65"/>
      <c r="AH20" s="65"/>
      <c r="AI20" s="65"/>
      <c r="AJ20" s="65"/>
      <c r="AK20" s="65"/>
      <c r="AL20" s="272">
        <v>61.016080444991999</v>
      </c>
      <c r="AM20" s="272">
        <v>27.19763883057103</v>
      </c>
      <c r="AN20" s="272">
        <v>11.786280724436969</v>
      </c>
      <c r="AO20" s="72">
        <v>38.983919555008001</v>
      </c>
      <c r="AP20" s="1"/>
      <c r="AQ20" s="1"/>
      <c r="AR20" s="1"/>
      <c r="AS20" s="1"/>
      <c r="AT20" s="1"/>
      <c r="AU20" s="1"/>
      <c r="AV20" s="1"/>
      <c r="AW20" s="1"/>
      <c r="AX20" s="1"/>
      <c r="AY20" s="1"/>
      <c r="AZ20" s="1"/>
      <c r="BA20" s="1"/>
      <c r="BB20" s="1"/>
      <c r="BC20" s="1"/>
      <c r="BD20" s="1"/>
      <c r="BE20" s="1"/>
      <c r="BF20" s="1"/>
      <c r="BG20" s="162"/>
      <c r="BH20" s="24">
        <v>71.322191423670048</v>
      </c>
      <c r="BI20" s="24">
        <v>16.891527851892985</v>
      </c>
      <c r="BJ20" s="24">
        <v>11.786280724436969</v>
      </c>
      <c r="BK20" s="25">
        <v>28.677808576329952</v>
      </c>
      <c r="BL20" s="215" t="s">
        <v>870</v>
      </c>
      <c r="BN20" s="453">
        <v>0.94034780799999995</v>
      </c>
      <c r="BO20" s="454">
        <v>10.20919769</v>
      </c>
      <c r="BP20" s="454">
        <v>16.73268874</v>
      </c>
      <c r="BQ20" s="454">
        <v>10.795304529999999</v>
      </c>
      <c r="BR20" s="501">
        <v>0.88014416200000001</v>
      </c>
      <c r="BS20" s="76" t="s">
        <v>220</v>
      </c>
      <c r="BT20" s="76" t="s">
        <v>220</v>
      </c>
      <c r="BU20" s="76" t="s">
        <v>220</v>
      </c>
      <c r="BV20" s="76" t="s">
        <v>220</v>
      </c>
      <c r="BW20" s="76" t="s">
        <v>220</v>
      </c>
      <c r="BX20" s="75" t="s">
        <v>220</v>
      </c>
      <c r="BY20" s="76" t="s">
        <v>220</v>
      </c>
      <c r="BZ20" s="76" t="s">
        <v>220</v>
      </c>
      <c r="CA20" s="76" t="s">
        <v>220</v>
      </c>
      <c r="CB20" s="267" t="s">
        <v>220</v>
      </c>
      <c r="CC20" s="76">
        <v>0.94034780799999995</v>
      </c>
      <c r="CD20" s="76">
        <v>10.20919769</v>
      </c>
      <c r="CE20" s="76">
        <v>16.73268874</v>
      </c>
      <c r="CF20" s="76">
        <v>10.795304529999999</v>
      </c>
      <c r="CG20" s="76">
        <v>0.88014416200000001</v>
      </c>
      <c r="CH20" s="26"/>
      <c r="CI20" s="77"/>
      <c r="CJ20" s="68"/>
      <c r="DZ20" s="41"/>
    </row>
    <row r="21" spans="1:130" ht="12.6" customHeight="1" x14ac:dyDescent="0.3">
      <c r="A21" s="124" t="s">
        <v>756</v>
      </c>
      <c r="B21" s="243" t="s">
        <v>757</v>
      </c>
      <c r="C21" s="243" t="s">
        <v>850</v>
      </c>
      <c r="D21" s="261" t="s">
        <v>854</v>
      </c>
      <c r="E21" s="258" t="s">
        <v>186</v>
      </c>
      <c r="F21" s="258" t="s">
        <v>836</v>
      </c>
      <c r="G21" s="255" t="s">
        <v>215</v>
      </c>
      <c r="H21" s="196" t="s">
        <v>852</v>
      </c>
      <c r="I21" s="257"/>
      <c r="J21" s="256" t="s">
        <v>192</v>
      </c>
      <c r="K21" s="268"/>
      <c r="L21" s="256"/>
      <c r="M21" s="256"/>
      <c r="N21" s="256"/>
      <c r="O21" s="256"/>
      <c r="P21" s="256"/>
      <c r="Q21" s="256"/>
      <c r="R21" s="256"/>
      <c r="S21" s="589"/>
      <c r="T21" s="65"/>
      <c r="U21" s="65"/>
      <c r="V21" s="65"/>
      <c r="W21" s="65"/>
      <c r="X21" s="65"/>
      <c r="Y21" s="65"/>
      <c r="Z21" s="65"/>
      <c r="AA21" s="65"/>
      <c r="AB21" s="65"/>
      <c r="AC21" s="65"/>
      <c r="AD21" s="65"/>
      <c r="AE21" s="65"/>
      <c r="AF21" s="65"/>
      <c r="AG21" s="65"/>
      <c r="AH21" s="65"/>
      <c r="AI21" s="65"/>
      <c r="AJ21" s="65"/>
      <c r="AK21" s="65"/>
      <c r="AL21" s="272">
        <v>57.886823988608484</v>
      </c>
      <c r="AM21" s="272">
        <v>20.793434277322429</v>
      </c>
      <c r="AN21" s="272">
        <v>21.319741734069087</v>
      </c>
      <c r="AO21" s="72">
        <v>42.113176011391516</v>
      </c>
      <c r="AP21" s="1"/>
      <c r="AQ21" s="1"/>
      <c r="AR21" s="1"/>
      <c r="AS21" s="1"/>
      <c r="AT21" s="1"/>
      <c r="AU21" s="1"/>
      <c r="AV21" s="1"/>
      <c r="AW21" s="1"/>
      <c r="AX21" s="1"/>
      <c r="AY21" s="1"/>
      <c r="AZ21" s="1"/>
      <c r="BA21" s="1"/>
      <c r="BB21" s="1"/>
      <c r="BC21" s="1"/>
      <c r="BD21" s="1"/>
      <c r="BE21" s="1"/>
      <c r="BF21" s="1"/>
      <c r="BG21" s="162"/>
      <c r="BH21" s="24">
        <v>67.69574734410844</v>
      </c>
      <c r="BI21" s="24">
        <v>10.984510921822469</v>
      </c>
      <c r="BJ21" s="24">
        <v>21.319741734069087</v>
      </c>
      <c r="BK21" s="25">
        <v>32.30425265589156</v>
      </c>
      <c r="BL21" s="215" t="s">
        <v>870</v>
      </c>
      <c r="BN21" s="453">
        <v>0.465642414</v>
      </c>
      <c r="BO21" s="454">
        <v>9.7632488479999999</v>
      </c>
      <c r="BP21" s="454">
        <v>10.93336238</v>
      </c>
      <c r="BQ21" s="454">
        <v>12.08469489</v>
      </c>
      <c r="BR21" s="501">
        <v>9.1357730840000002</v>
      </c>
      <c r="BS21" s="76" t="s">
        <v>220</v>
      </c>
      <c r="BT21" s="76" t="s">
        <v>220</v>
      </c>
      <c r="BU21" s="76" t="s">
        <v>220</v>
      </c>
      <c r="BV21" s="76" t="s">
        <v>220</v>
      </c>
      <c r="BW21" s="76" t="s">
        <v>220</v>
      </c>
      <c r="BX21" s="75" t="s">
        <v>220</v>
      </c>
      <c r="BY21" s="76" t="s">
        <v>220</v>
      </c>
      <c r="BZ21" s="76" t="s">
        <v>220</v>
      </c>
      <c r="CA21" s="76" t="s">
        <v>220</v>
      </c>
      <c r="CB21" s="267" t="s">
        <v>220</v>
      </c>
      <c r="CC21" s="76">
        <v>0.465642414</v>
      </c>
      <c r="CD21" s="76">
        <v>9.7632488479999999</v>
      </c>
      <c r="CE21" s="76">
        <v>10.93336238</v>
      </c>
      <c r="CF21" s="76">
        <v>12.08469489</v>
      </c>
      <c r="CG21" s="76">
        <v>9.1357730840000002</v>
      </c>
      <c r="CH21" s="26"/>
      <c r="CI21" s="77"/>
      <c r="CJ21" s="68"/>
      <c r="DZ21" s="41"/>
    </row>
    <row r="22" spans="1:130" ht="14.4" customHeight="1" x14ac:dyDescent="0.3">
      <c r="A22" s="124" t="s">
        <v>756</v>
      </c>
      <c r="B22" s="260" t="s">
        <v>757</v>
      </c>
      <c r="C22" s="260" t="s">
        <v>758</v>
      </c>
      <c r="D22" s="260" t="s">
        <v>759</v>
      </c>
      <c r="E22" s="130" t="s">
        <v>704</v>
      </c>
      <c r="F22" s="130" t="s">
        <v>942</v>
      </c>
      <c r="G22" s="255" t="s">
        <v>211</v>
      </c>
      <c r="H22" s="196"/>
      <c r="I22" s="127" t="s">
        <v>201</v>
      </c>
      <c r="J22" s="152" t="s">
        <v>201</v>
      </c>
      <c r="K22" s="268"/>
      <c r="L22" s="256"/>
      <c r="M22" s="152" t="s">
        <v>201</v>
      </c>
      <c r="N22" s="256"/>
      <c r="O22" s="256"/>
      <c r="P22" s="411">
        <v>1190</v>
      </c>
      <c r="Q22" s="411">
        <v>40</v>
      </c>
      <c r="R22" s="256"/>
      <c r="S22" s="415">
        <v>7</v>
      </c>
      <c r="T22" s="65">
        <v>-24.881363835146828</v>
      </c>
      <c r="U22" s="65">
        <v>-47.724487477246235</v>
      </c>
      <c r="V22" s="65">
        <v>-8.2654922172161776</v>
      </c>
      <c r="W22" s="30">
        <v>-29.030432996765427</v>
      </c>
      <c r="X22" s="30">
        <v>-56.664146304994631</v>
      </c>
      <c r="Y22" s="114">
        <v>-7.2061042369019788</v>
      </c>
      <c r="Z22" s="65">
        <v>-33.142895063025733</v>
      </c>
      <c r="AA22" s="65">
        <v>-63.10198461662219</v>
      </c>
      <c r="AB22" s="65">
        <v>-4.2219672382685474</v>
      </c>
      <c r="AC22" s="65">
        <v>0</v>
      </c>
      <c r="AD22" s="65">
        <v>0</v>
      </c>
      <c r="AE22" s="65">
        <v>0</v>
      </c>
      <c r="AF22" s="65">
        <v>-6.4285714285714306</v>
      </c>
      <c r="AG22" s="65">
        <v>-29.287394957983196</v>
      </c>
      <c r="AH22" s="65">
        <v>4.4239028944911212</v>
      </c>
      <c r="AI22" s="65">
        <v>-20.714285714285708</v>
      </c>
      <c r="AJ22" s="65">
        <v>-45.099633699633692</v>
      </c>
      <c r="AK22" s="65">
        <v>3.9853479853479854</v>
      </c>
      <c r="AL22" s="272">
        <v>19.372340838314216</v>
      </c>
      <c r="AM22" s="71">
        <v>42.003989217517116</v>
      </c>
      <c r="AN22" s="71">
        <v>38.623669944168661</v>
      </c>
      <c r="AO22" s="72">
        <v>80.627659161685784</v>
      </c>
      <c r="AP22">
        <v>-23.976190534894513</v>
      </c>
      <c r="AQ22">
        <v>-45.392662756433374</v>
      </c>
      <c r="AR22">
        <v>-8.1564126908255759</v>
      </c>
      <c r="AS22">
        <v>-28.233880492543392</v>
      </c>
      <c r="AT22">
        <v>-55.411657326801048</v>
      </c>
      <c r="AU22">
        <v>-6.9666324259521701</v>
      </c>
      <c r="AV22">
        <v>-32.708411878904627</v>
      </c>
      <c r="AW22">
        <v>-62.031569775234296</v>
      </c>
      <c r="AX22">
        <v>-4.1014366162510498</v>
      </c>
      <c r="AY22" s="1">
        <v>0</v>
      </c>
      <c r="AZ22" s="1">
        <v>0</v>
      </c>
      <c r="BA22" s="1">
        <v>0</v>
      </c>
      <c r="BB22" s="1">
        <v>-6.4285714285714306</v>
      </c>
      <c r="BC22" s="1">
        <v>-29.287394957983196</v>
      </c>
      <c r="BD22" s="1">
        <v>4.4239028944911212</v>
      </c>
      <c r="BE22" s="1">
        <v>-20.714285714285708</v>
      </c>
      <c r="BF22" s="1">
        <v>-45.099633699633692</v>
      </c>
      <c r="BG22" s="164">
        <v>3.9853479853479854</v>
      </c>
      <c r="BH22" s="60">
        <v>24.44131131972712</v>
      </c>
      <c r="BI22" s="24">
        <v>36.935018736104219</v>
      </c>
      <c r="BJ22" s="24">
        <v>38.623669944168661</v>
      </c>
      <c r="BK22" s="25">
        <v>75.55868868027288</v>
      </c>
      <c r="BL22" s="215" t="s">
        <v>868</v>
      </c>
      <c r="BN22" s="453">
        <v>0.47613189900000003</v>
      </c>
      <c r="BO22" s="454">
        <v>5.0448354960000001</v>
      </c>
      <c r="BP22" s="454">
        <v>36.759159330000003</v>
      </c>
      <c r="BQ22" s="454">
        <v>32.1175158</v>
      </c>
      <c r="BR22" s="501">
        <v>6.3222545309999996</v>
      </c>
      <c r="BS22" s="76">
        <v>0.47613189900000003</v>
      </c>
      <c r="BT22" s="76">
        <v>5.0448354960000001</v>
      </c>
      <c r="BU22" s="76">
        <v>36.759159330000003</v>
      </c>
      <c r="BV22" s="76">
        <v>32.1175158</v>
      </c>
      <c r="BW22" s="76">
        <v>6.3222545309999996</v>
      </c>
      <c r="BX22" s="75">
        <v>1.0007394629999999</v>
      </c>
      <c r="BY22" s="76">
        <v>7.5770273599999998</v>
      </c>
      <c r="BZ22" s="76">
        <v>33.502588119999999</v>
      </c>
      <c r="CA22" s="76">
        <v>31.910278529999999</v>
      </c>
      <c r="CB22" s="267">
        <v>9.4454030069999995</v>
      </c>
      <c r="CC22" s="76">
        <v>0.90580976700000004</v>
      </c>
      <c r="CD22" s="76">
        <v>6.2068549659999999</v>
      </c>
      <c r="CE22" s="76">
        <v>28.389771110000002</v>
      </c>
      <c r="CF22" s="76">
        <v>25.872540239999999</v>
      </c>
      <c r="CG22" s="76">
        <v>4.8925854759999998</v>
      </c>
      <c r="CH22" s="26"/>
      <c r="CI22" s="77"/>
      <c r="CJ22" s="68"/>
    </row>
    <row r="23" spans="1:130" ht="14.4" customHeight="1" x14ac:dyDescent="0.3">
      <c r="A23" s="124" t="s">
        <v>756</v>
      </c>
      <c r="B23" s="262" t="s">
        <v>757</v>
      </c>
      <c r="C23" s="262" t="s">
        <v>807</v>
      </c>
      <c r="D23" s="263" t="s">
        <v>808</v>
      </c>
      <c r="E23" s="258" t="s">
        <v>186</v>
      </c>
      <c r="F23" s="258" t="s">
        <v>960</v>
      </c>
      <c r="G23" s="255" t="s">
        <v>211</v>
      </c>
      <c r="H23" s="196" t="s">
        <v>809</v>
      </c>
      <c r="I23" s="257" t="s">
        <v>810</v>
      </c>
      <c r="J23" s="256" t="s">
        <v>188</v>
      </c>
      <c r="K23" s="269"/>
      <c r="L23" s="152"/>
      <c r="M23" s="152"/>
      <c r="N23" s="152"/>
      <c r="O23" s="152"/>
      <c r="P23" s="418">
        <v>311511</v>
      </c>
      <c r="Q23" s="418">
        <v>7496</v>
      </c>
      <c r="R23" s="152"/>
      <c r="S23" s="415">
        <v>8</v>
      </c>
      <c r="T23" s="65">
        <v>-8.8881126855035575</v>
      </c>
      <c r="U23" s="65">
        <v>-16.542973658914903</v>
      </c>
      <c r="V23" s="65">
        <v>-1.9330602245250645</v>
      </c>
      <c r="W23" s="30">
        <v>-5.114831203338241</v>
      </c>
      <c r="X23" s="30">
        <v>-21.277404953473251</v>
      </c>
      <c r="Y23" s="114">
        <v>5.0835552427270017</v>
      </c>
      <c r="Z23" s="65">
        <v>-1.4483779331953031</v>
      </c>
      <c r="AA23" s="65">
        <v>-14.682295805235768</v>
      </c>
      <c r="AB23" s="65">
        <v>13.434038480626825</v>
      </c>
      <c r="AC23" s="65">
        <v>0</v>
      </c>
      <c r="AD23" s="65">
        <v>0</v>
      </c>
      <c r="AE23" s="65">
        <v>0</v>
      </c>
      <c r="AF23" s="65">
        <v>0</v>
      </c>
      <c r="AG23" s="65">
        <v>-9.4484004127967012</v>
      </c>
      <c r="AH23" s="65">
        <v>4.784657722738217</v>
      </c>
      <c r="AI23" s="65">
        <v>0</v>
      </c>
      <c r="AJ23" s="65">
        <v>-9.4428699955015816</v>
      </c>
      <c r="AK23" s="65">
        <v>9.7962213225371073</v>
      </c>
      <c r="AL23" s="272">
        <v>62.310985017537973</v>
      </c>
      <c r="AM23" s="71">
        <v>18.494108777701186</v>
      </c>
      <c r="AN23" s="71">
        <v>19.194906204760844</v>
      </c>
      <c r="AO23" s="72">
        <v>37.689014982462027</v>
      </c>
      <c r="AP23" s="8">
        <v>-7.89081203512049</v>
      </c>
      <c r="AQ23" s="8">
        <v>-14.734348908937264</v>
      </c>
      <c r="AR23" s="8">
        <v>-1.9651600826203151</v>
      </c>
      <c r="AS23" s="8">
        <v>-4.7159109431850084</v>
      </c>
      <c r="AT23" s="8">
        <v>-20.150802698102567</v>
      </c>
      <c r="AU23" s="8">
        <v>4.7491546348124842</v>
      </c>
      <c r="AV23" s="8">
        <v>-1.5281619852259496</v>
      </c>
      <c r="AW23" s="8">
        <v>-14.326411045315453</v>
      </c>
      <c r="AX23" s="8">
        <v>12.646142639153254</v>
      </c>
      <c r="AY23" s="1">
        <v>0</v>
      </c>
      <c r="AZ23" s="1">
        <v>0</v>
      </c>
      <c r="BA23" s="1">
        <v>0</v>
      </c>
      <c r="BB23" s="1">
        <v>0</v>
      </c>
      <c r="BC23" s="1">
        <v>-9.4484004127967012</v>
      </c>
      <c r="BD23" s="1">
        <v>4.784657722738217</v>
      </c>
      <c r="BE23" s="1">
        <v>0</v>
      </c>
      <c r="BF23" s="1">
        <v>-9.4428699955015816</v>
      </c>
      <c r="BG23" s="164">
        <v>9.7962213225371073</v>
      </c>
      <c r="BH23" s="24">
        <v>68.69370917998971</v>
      </c>
      <c r="BI23" s="24">
        <v>12.111384615249451</v>
      </c>
      <c r="BJ23" s="24">
        <v>19.194906204760844</v>
      </c>
      <c r="BK23" s="25">
        <v>31.306290820010297</v>
      </c>
      <c r="BL23" s="215" t="s">
        <v>868</v>
      </c>
      <c r="BN23" s="451">
        <v>1.47192343350893</v>
      </c>
      <c r="BO23" s="452">
        <v>6.2887753498083701</v>
      </c>
      <c r="BP23" s="452">
        <v>11.933114306975199</v>
      </c>
      <c r="BQ23" s="452">
        <v>11.9327733134991</v>
      </c>
      <c r="BR23" s="502">
        <v>6.9795985687938096</v>
      </c>
      <c r="BS23" s="74">
        <v>1.47192343350893</v>
      </c>
      <c r="BT23" s="74">
        <v>6.2887753498083701</v>
      </c>
      <c r="BU23" s="74">
        <v>11.933114306975199</v>
      </c>
      <c r="BV23" s="74">
        <v>11.9327733134991</v>
      </c>
      <c r="BW23" s="74">
        <v>6.9795985687938096</v>
      </c>
      <c r="BX23" s="75">
        <v>1.871681814</v>
      </c>
      <c r="BY23" s="76">
        <v>6.3336576530000004</v>
      </c>
      <c r="BZ23" s="76">
        <v>12.55877126</v>
      </c>
      <c r="CA23" s="76">
        <v>13.29664582</v>
      </c>
      <c r="CB23" s="267">
        <v>8.2718437869999999</v>
      </c>
      <c r="CC23" s="76">
        <v>1.121749922</v>
      </c>
      <c r="CD23" s="76">
        <v>2.9676600610000001</v>
      </c>
      <c r="CE23" s="76">
        <v>5.050886931</v>
      </c>
      <c r="CF23" s="76">
        <v>4.5019912199999998</v>
      </c>
      <c r="CG23" s="76">
        <v>2.456678374</v>
      </c>
      <c r="CH23" s="26"/>
      <c r="CI23" s="77"/>
      <c r="CJ23" s="68"/>
    </row>
    <row r="24" spans="1:130" ht="14.4" customHeight="1" x14ac:dyDescent="0.3">
      <c r="A24" s="124" t="s">
        <v>756</v>
      </c>
      <c r="B24" s="243" t="s">
        <v>757</v>
      </c>
      <c r="C24" s="243" t="s">
        <v>785</v>
      </c>
      <c r="D24" s="261" t="s">
        <v>786</v>
      </c>
      <c r="E24" s="130" t="s">
        <v>186</v>
      </c>
      <c r="F24" s="130" t="s">
        <v>966</v>
      </c>
      <c r="G24" s="255" t="s">
        <v>211</v>
      </c>
      <c r="H24" s="196" t="s">
        <v>787</v>
      </c>
      <c r="I24" s="257"/>
      <c r="J24" s="256" t="s">
        <v>188</v>
      </c>
      <c r="K24" s="269"/>
      <c r="L24" s="152"/>
      <c r="M24" s="152"/>
      <c r="N24" s="152"/>
      <c r="O24" s="152"/>
      <c r="P24" s="418">
        <v>21076</v>
      </c>
      <c r="Q24" s="418">
        <v>268</v>
      </c>
      <c r="R24" s="152"/>
      <c r="S24" s="415">
        <v>9</v>
      </c>
      <c r="T24" s="65">
        <v>-7.3543017114177189</v>
      </c>
      <c r="U24" s="65">
        <v>-14.516594884360742</v>
      </c>
      <c r="V24" s="65">
        <v>-3.2351386941899705</v>
      </c>
      <c r="W24" s="30">
        <v>-6.6445999727175007</v>
      </c>
      <c r="X24" s="30">
        <v>-20.288244334127853</v>
      </c>
      <c r="Y24" s="114">
        <v>1.4361594486620533</v>
      </c>
      <c r="Z24" s="65">
        <v>-5.0771992455453017</v>
      </c>
      <c r="AA24" s="65">
        <v>-18.946919666964064</v>
      </c>
      <c r="AB24" s="65">
        <v>7.7471671948354555</v>
      </c>
      <c r="AC24" s="65">
        <v>0</v>
      </c>
      <c r="AD24" s="65">
        <v>0</v>
      </c>
      <c r="AE24" s="65">
        <v>0</v>
      </c>
      <c r="AF24" s="65">
        <v>0</v>
      </c>
      <c r="AG24" s="65">
        <v>-8.1762838468720815</v>
      </c>
      <c r="AH24" s="65">
        <v>4.5445378151260485</v>
      </c>
      <c r="AI24" s="65">
        <v>-2.8571428571428612</v>
      </c>
      <c r="AJ24" s="65">
        <v>-11.993162393162393</v>
      </c>
      <c r="AK24" s="65">
        <v>9.4847374847374795</v>
      </c>
      <c r="AL24" s="272">
        <v>74.551246713208783</v>
      </c>
      <c r="AM24" s="71">
        <v>23.011983557654609</v>
      </c>
      <c r="AN24" s="71">
        <v>2.4367697291366022</v>
      </c>
      <c r="AO24" s="72">
        <v>25.448753286791213</v>
      </c>
      <c r="AP24">
        <v>-3.8171673493309157</v>
      </c>
      <c r="AQ24">
        <v>-6.8281863478687939</v>
      </c>
      <c r="AR24">
        <v>-1.653923025512043</v>
      </c>
      <c r="AS24">
        <v>-3.5117095377263468</v>
      </c>
      <c r="AT24">
        <v>-13.955450662423758</v>
      </c>
      <c r="AU24">
        <v>2.9496021988322099</v>
      </c>
      <c r="AV24">
        <v>-4.2687113913540315</v>
      </c>
      <c r="AW24">
        <v>-15.593318957931302</v>
      </c>
      <c r="AX24">
        <v>8.5921061039913269</v>
      </c>
      <c r="AY24" s="1">
        <v>0</v>
      </c>
      <c r="AZ24" s="1">
        <v>0</v>
      </c>
      <c r="BA24" s="1">
        <v>0</v>
      </c>
      <c r="BB24" s="1">
        <v>0</v>
      </c>
      <c r="BC24" s="1">
        <v>-8.1762838468720815</v>
      </c>
      <c r="BD24" s="1">
        <v>4.5445378151260485</v>
      </c>
      <c r="BE24" s="1">
        <v>-2.8571428571428612</v>
      </c>
      <c r="BF24" s="1">
        <v>-11.993162393162393</v>
      </c>
      <c r="BG24" s="164">
        <v>9.4847374847374795</v>
      </c>
      <c r="BH24" s="60">
        <v>88.699784161555939</v>
      </c>
      <c r="BI24" s="24">
        <v>8.8634461093074624</v>
      </c>
      <c r="BJ24" s="24">
        <v>2.4367697291366022</v>
      </c>
      <c r="BK24" s="25">
        <v>11.300215838444064</v>
      </c>
      <c r="BL24" s="215" t="s">
        <v>868</v>
      </c>
      <c r="BN24" s="453">
        <v>0.49448608100000002</v>
      </c>
      <c r="BO24" s="454">
        <v>14.0785749</v>
      </c>
      <c r="BP24" s="454">
        <v>8.8196176019999992</v>
      </c>
      <c r="BQ24" s="454">
        <v>2.2651992170000002</v>
      </c>
      <c r="BR24" s="501">
        <v>0.15952102500000001</v>
      </c>
      <c r="BS24" s="76">
        <v>0.49448608100000002</v>
      </c>
      <c r="BT24" s="76">
        <v>14.0785749</v>
      </c>
      <c r="BU24" s="76">
        <v>8.8196176019999992</v>
      </c>
      <c r="BV24" s="76">
        <v>2.2651992170000002</v>
      </c>
      <c r="BW24" s="76">
        <v>0.15952102500000001</v>
      </c>
      <c r="BX24" s="75">
        <v>0.68081343900000002</v>
      </c>
      <c r="BY24" s="76">
        <v>29.420866490000002</v>
      </c>
      <c r="BZ24" s="76">
        <v>11.50751547</v>
      </c>
      <c r="CA24" s="76">
        <v>3.42617153</v>
      </c>
      <c r="CB24" s="267">
        <v>0.34924845300000001</v>
      </c>
      <c r="CC24" s="76">
        <v>0.587120592</v>
      </c>
      <c r="CD24" s="76">
        <v>9.1007707710000005</v>
      </c>
      <c r="CE24" s="76">
        <v>19.42660455</v>
      </c>
      <c r="CF24" s="76">
        <v>14.13570397</v>
      </c>
      <c r="CG24" s="76">
        <v>1.5766300900000001</v>
      </c>
      <c r="CH24" s="26"/>
      <c r="CI24" s="77"/>
      <c r="CJ24" s="68"/>
    </row>
    <row r="25" spans="1:130" ht="14.4" customHeight="1" x14ac:dyDescent="0.3">
      <c r="A25" s="124" t="s">
        <v>756</v>
      </c>
      <c r="B25" s="260" t="s">
        <v>763</v>
      </c>
      <c r="C25" s="260" t="s">
        <v>776</v>
      </c>
      <c r="D25" s="260" t="s">
        <v>777</v>
      </c>
      <c r="E25" s="130" t="s">
        <v>704</v>
      </c>
      <c r="F25" s="130" t="s">
        <v>950</v>
      </c>
      <c r="G25" s="255" t="s">
        <v>211</v>
      </c>
      <c r="H25" s="196" t="s">
        <v>778</v>
      </c>
      <c r="I25" s="127" t="s">
        <v>187</v>
      </c>
      <c r="J25" s="152" t="s">
        <v>187</v>
      </c>
      <c r="K25" s="269"/>
      <c r="L25" s="152"/>
      <c r="M25" s="411" t="s">
        <v>187</v>
      </c>
      <c r="N25" s="152"/>
      <c r="O25" s="152"/>
      <c r="P25" s="411">
        <v>30756</v>
      </c>
      <c r="Q25" s="411">
        <v>638</v>
      </c>
      <c r="R25" s="152"/>
      <c r="S25" s="415">
        <v>10</v>
      </c>
      <c r="T25" s="65">
        <v>-10.449436776629625</v>
      </c>
      <c r="U25" s="65">
        <v>-24.600264528372833</v>
      </c>
      <c r="V25" s="65">
        <v>-2.0487522086287129</v>
      </c>
      <c r="W25" s="30">
        <v>-11.472122088491687</v>
      </c>
      <c r="X25" s="30">
        <v>-29.604474621590001</v>
      </c>
      <c r="Y25" s="114">
        <v>0.93102092186568086</v>
      </c>
      <c r="Z25" s="65">
        <v>-7.9121141509992867</v>
      </c>
      <c r="AA25" s="65">
        <v>-25.503263901915957</v>
      </c>
      <c r="AB25" s="65">
        <v>2.2268741192821579</v>
      </c>
      <c r="AC25" s="65">
        <v>0</v>
      </c>
      <c r="AD25" s="65">
        <v>0</v>
      </c>
      <c r="AE25" s="65">
        <v>0</v>
      </c>
      <c r="AF25" s="65">
        <v>-1</v>
      </c>
      <c r="AG25" s="65">
        <v>-11.004855275443518</v>
      </c>
      <c r="AH25" s="65">
        <v>3.0746965452847803</v>
      </c>
      <c r="AI25" s="65">
        <v>-5</v>
      </c>
      <c r="AJ25" s="65">
        <v>-19.621048419367753</v>
      </c>
      <c r="AK25" s="65">
        <v>3.5938375350140035</v>
      </c>
      <c r="AL25" s="272">
        <v>28.029570523007507</v>
      </c>
      <c r="AM25" s="71">
        <v>40.006314025505425</v>
      </c>
      <c r="AN25" s="71">
        <v>31.964115451487064</v>
      </c>
      <c r="AO25" s="72">
        <v>71.970429476992493</v>
      </c>
      <c r="AP25">
        <v>-9.4586527331834418</v>
      </c>
      <c r="AQ25">
        <v>-21.689406438656334</v>
      </c>
      <c r="AR25">
        <v>-1.8820488616361786</v>
      </c>
      <c r="AS25">
        <v>-10.517366555716279</v>
      </c>
      <c r="AT25">
        <v>-27.821332463914786</v>
      </c>
      <c r="AU25">
        <v>1.1834896170889664</v>
      </c>
      <c r="AV25">
        <v>-7.6419003209685172</v>
      </c>
      <c r="AW25">
        <v>-24.961438885267313</v>
      </c>
      <c r="AX25">
        <v>2.2397737907390365</v>
      </c>
      <c r="AY25" s="1">
        <v>0</v>
      </c>
      <c r="AZ25" s="1">
        <v>0</v>
      </c>
      <c r="BA25" s="1">
        <v>0</v>
      </c>
      <c r="BB25" s="1">
        <v>-1</v>
      </c>
      <c r="BC25" s="1">
        <v>-11.004855275443518</v>
      </c>
      <c r="BD25" s="1">
        <v>3.0746965452847803</v>
      </c>
      <c r="BE25" s="1">
        <v>-5</v>
      </c>
      <c r="BF25" s="1">
        <v>-19.621048419367753</v>
      </c>
      <c r="BG25" s="164">
        <v>3.5938375350140035</v>
      </c>
      <c r="BH25" s="60">
        <v>40.639549257776878</v>
      </c>
      <c r="BI25" s="24">
        <v>27.396335290736062</v>
      </c>
      <c r="BJ25" s="24">
        <v>31.964115451487064</v>
      </c>
      <c r="BK25" s="25">
        <v>59.360450742223122</v>
      </c>
      <c r="BL25" s="215" t="s">
        <v>868</v>
      </c>
      <c r="BN25" s="453">
        <v>0.37369987500000001</v>
      </c>
      <c r="BO25" s="454">
        <v>12.562855259999999</v>
      </c>
      <c r="BP25" s="454">
        <v>27.293955220000001</v>
      </c>
      <c r="BQ25" s="454">
        <v>25.708922340000001</v>
      </c>
      <c r="BR25" s="501">
        <v>6.1357432520000001</v>
      </c>
      <c r="BS25" s="76">
        <v>0.37369987500000001</v>
      </c>
      <c r="BT25" s="76">
        <v>12.562855259999999</v>
      </c>
      <c r="BU25" s="76">
        <v>27.293955220000001</v>
      </c>
      <c r="BV25" s="76">
        <v>25.708922340000001</v>
      </c>
      <c r="BW25" s="76">
        <v>6.1357432520000001</v>
      </c>
      <c r="BX25" s="75">
        <v>0.32956266099999998</v>
      </c>
      <c r="BY25" s="76">
        <v>10.04327193</v>
      </c>
      <c r="BZ25" s="76">
        <v>22.4846249</v>
      </c>
      <c r="CA25" s="76">
        <v>18.514130179999999</v>
      </c>
      <c r="CB25" s="267">
        <v>6.4346540010000002</v>
      </c>
      <c r="CC25" s="76">
        <v>0.76816352799999998</v>
      </c>
      <c r="CD25" s="76">
        <v>11.22856453</v>
      </c>
      <c r="CE25" s="76">
        <v>24.092188279999998</v>
      </c>
      <c r="CF25" s="76">
        <v>22.000077350000002</v>
      </c>
      <c r="CG25" s="76">
        <v>5.1349172559999996</v>
      </c>
      <c r="CH25" s="26"/>
      <c r="CI25" s="77"/>
      <c r="CJ25" s="68"/>
    </row>
    <row r="26" spans="1:130" ht="14.4" customHeight="1" x14ac:dyDescent="0.3">
      <c r="A26" s="124" t="s">
        <v>756</v>
      </c>
      <c r="B26" s="262" t="s">
        <v>763</v>
      </c>
      <c r="C26" s="262" t="s">
        <v>779</v>
      </c>
      <c r="D26" s="260" t="s">
        <v>780</v>
      </c>
      <c r="E26" s="130" t="s">
        <v>704</v>
      </c>
      <c r="F26" s="130" t="s">
        <v>956</v>
      </c>
      <c r="G26" s="255" t="s">
        <v>211</v>
      </c>
      <c r="H26" s="196" t="s">
        <v>781</v>
      </c>
      <c r="I26" s="127"/>
      <c r="J26" s="152" t="s">
        <v>267</v>
      </c>
      <c r="K26" s="269"/>
      <c r="L26" s="411" t="s">
        <v>267</v>
      </c>
      <c r="M26" s="152"/>
      <c r="N26" s="152"/>
      <c r="O26" s="152"/>
      <c r="P26" s="418">
        <v>136248</v>
      </c>
      <c r="Q26" s="418">
        <v>1164</v>
      </c>
      <c r="R26" s="152"/>
      <c r="S26" s="415">
        <v>11</v>
      </c>
      <c r="T26" s="65">
        <v>-8.6883291195399295</v>
      </c>
      <c r="U26" s="65">
        <v>-13.070051766613886</v>
      </c>
      <c r="V26" s="65">
        <v>-3.1857398410002986</v>
      </c>
      <c r="W26" s="30">
        <v>-10.383225572939764</v>
      </c>
      <c r="X26" s="30">
        <v>-27.871354099337495</v>
      </c>
      <c r="Y26" s="114">
        <v>-0.85919866082107887</v>
      </c>
      <c r="Z26" s="65">
        <v>-11.604987672661977</v>
      </c>
      <c r="AA26" s="65">
        <v>-32.195392981733207</v>
      </c>
      <c r="AB26" s="65">
        <v>1.0910167215657509</v>
      </c>
      <c r="AC26" s="65">
        <v>0</v>
      </c>
      <c r="AD26" s="65">
        <v>0</v>
      </c>
      <c r="AE26" s="65">
        <v>0</v>
      </c>
      <c r="AF26" s="65">
        <v>-2.8571428571428612</v>
      </c>
      <c r="AG26" s="65">
        <v>-17.181272509003605</v>
      </c>
      <c r="AH26" s="65">
        <v>2.6597305588902174</v>
      </c>
      <c r="AI26" s="65">
        <v>-9.2857142857142918</v>
      </c>
      <c r="AJ26" s="65">
        <v>-26.488574917146352</v>
      </c>
      <c r="AK26" s="65">
        <v>1.401534972963546</v>
      </c>
      <c r="AL26" s="272">
        <v>78.723419375462484</v>
      </c>
      <c r="AM26" s="272">
        <v>14.265578069177549</v>
      </c>
      <c r="AN26" s="272">
        <v>7.0110025553599691</v>
      </c>
      <c r="AO26" s="72">
        <v>21.276580624537516</v>
      </c>
      <c r="AP26">
        <v>-7.1334244850389013</v>
      </c>
      <c r="AQ26">
        <v>-10.583873300930478</v>
      </c>
      <c r="AR26">
        <v>-2.6945123661293167</v>
      </c>
      <c r="AS26">
        <v>-9.0452843758109935</v>
      </c>
      <c r="AT26">
        <v>-25.788286417791795</v>
      </c>
      <c r="AU26">
        <v>-0.15912082748403122</v>
      </c>
      <c r="AV26">
        <v>-11.279542516603641</v>
      </c>
      <c r="AW26">
        <v>-31.008672739630853</v>
      </c>
      <c r="AX26">
        <v>1.1798595845450564</v>
      </c>
      <c r="AY26" s="1">
        <v>0</v>
      </c>
      <c r="AZ26" s="1">
        <v>0</v>
      </c>
      <c r="BA26" s="1">
        <v>0</v>
      </c>
      <c r="BB26" s="1">
        <v>-2.8571428571428612</v>
      </c>
      <c r="BC26" s="1">
        <v>-17.181272509003605</v>
      </c>
      <c r="BD26" s="1">
        <v>2.6597305588902174</v>
      </c>
      <c r="BE26" s="1">
        <v>-9.2857142857142918</v>
      </c>
      <c r="BF26" s="1">
        <v>-26.488574917146352</v>
      </c>
      <c r="BG26" s="164">
        <v>1.401534972963546</v>
      </c>
      <c r="BH26" s="60">
        <v>83.785899580814686</v>
      </c>
      <c r="BI26" s="24">
        <v>9.2030978638253416</v>
      </c>
      <c r="BJ26" s="24">
        <v>7.0110025553599691</v>
      </c>
      <c r="BK26" s="25">
        <v>16.214100419185311</v>
      </c>
      <c r="BL26" s="215" t="s">
        <v>870</v>
      </c>
      <c r="BN26" s="453">
        <v>0.13153326200000001</v>
      </c>
      <c r="BO26" s="454">
        <v>5.0558213600000004</v>
      </c>
      <c r="BP26" s="454">
        <v>9.1909927289999995</v>
      </c>
      <c r="BQ26" s="454">
        <v>5.9691581810000001</v>
      </c>
      <c r="BR26" s="501">
        <v>1.0326225739999999</v>
      </c>
      <c r="BS26" s="76" t="s">
        <v>220</v>
      </c>
      <c r="BT26" s="76" t="s">
        <v>220</v>
      </c>
      <c r="BU26" s="76" t="s">
        <v>220</v>
      </c>
      <c r="BV26" s="76" t="s">
        <v>220</v>
      </c>
      <c r="BW26" s="76" t="s">
        <v>220</v>
      </c>
      <c r="BX26" s="75" t="s">
        <v>220</v>
      </c>
      <c r="BY26" s="76" t="s">
        <v>220</v>
      </c>
      <c r="BZ26" s="76" t="s">
        <v>220</v>
      </c>
      <c r="CA26" s="76" t="s">
        <v>220</v>
      </c>
      <c r="CB26" s="267" t="s">
        <v>220</v>
      </c>
      <c r="CC26" s="76">
        <v>0.13153326200000001</v>
      </c>
      <c r="CD26" s="76">
        <v>5.0558213600000004</v>
      </c>
      <c r="CE26" s="76">
        <v>9.1909927289999995</v>
      </c>
      <c r="CF26" s="76">
        <v>5.9691581810000001</v>
      </c>
      <c r="CG26" s="76">
        <v>1.0326225739999999</v>
      </c>
      <c r="CH26" s="26"/>
      <c r="CI26" s="77"/>
      <c r="CJ26" s="68"/>
    </row>
    <row r="27" spans="1:130" s="10" customFormat="1" ht="14.4" customHeight="1" x14ac:dyDescent="0.3">
      <c r="A27" s="124" t="s">
        <v>756</v>
      </c>
      <c r="B27" s="262" t="s">
        <v>757</v>
      </c>
      <c r="C27" s="262" t="s">
        <v>831</v>
      </c>
      <c r="D27" s="266" t="s">
        <v>832</v>
      </c>
      <c r="E27" s="470" t="s">
        <v>704</v>
      </c>
      <c r="F27" s="130" t="s">
        <v>952</v>
      </c>
      <c r="G27" s="255" t="s">
        <v>211</v>
      </c>
      <c r="H27" s="196"/>
      <c r="I27" s="127"/>
      <c r="J27" s="152" t="s">
        <v>266</v>
      </c>
      <c r="K27" s="269"/>
      <c r="L27" s="152"/>
      <c r="M27" s="411" t="s">
        <v>266</v>
      </c>
      <c r="N27" s="152"/>
      <c r="O27" s="152"/>
      <c r="P27" s="411" t="s">
        <v>962</v>
      </c>
      <c r="Q27" s="418">
        <v>32</v>
      </c>
      <c r="R27" s="152"/>
      <c r="S27" s="415">
        <v>12</v>
      </c>
      <c r="T27" s="65">
        <v>-1.0823529300012069E-2</v>
      </c>
      <c r="U27" s="65">
        <v>-1.8647130454581884E-2</v>
      </c>
      <c r="V27" s="65">
        <v>-2.8968469139982744E-3</v>
      </c>
      <c r="W27" s="30">
        <v>-8.504201592870686E-3</v>
      </c>
      <c r="X27" s="30">
        <v>-10.249073388067544</v>
      </c>
      <c r="Y27" s="114">
        <v>3.3044201688767458</v>
      </c>
      <c r="Z27" s="164">
        <v>-1.4316638655143095</v>
      </c>
      <c r="AA27" s="164">
        <v>-26.644053877233546</v>
      </c>
      <c r="AB27" s="164">
        <v>8.455377394731741</v>
      </c>
      <c r="AC27" s="164">
        <v>0</v>
      </c>
      <c r="AD27" s="164">
        <v>0</v>
      </c>
      <c r="AE27" s="164">
        <v>0</v>
      </c>
      <c r="AF27" s="164">
        <v>0</v>
      </c>
      <c r="AG27" s="164">
        <v>-10.233426704014946</v>
      </c>
      <c r="AH27" s="164">
        <v>3.3064425770308077</v>
      </c>
      <c r="AI27" s="164">
        <v>-1.4285714285714306</v>
      </c>
      <c r="AJ27" s="164">
        <v>-26.639804639804638</v>
      </c>
      <c r="AK27" s="164">
        <v>8.4566544566544479</v>
      </c>
      <c r="AL27" s="272">
        <v>99.963921568999993</v>
      </c>
      <c r="AM27" s="272">
        <v>3.6078431000000001E-2</v>
      </c>
      <c r="AN27" s="272">
        <v>0</v>
      </c>
      <c r="AO27" s="72">
        <v>3.6078431000000001E-2</v>
      </c>
      <c r="AP27">
        <v>-4.2836105999981555E-3</v>
      </c>
      <c r="AQ27">
        <v>-7.379944513544956E-3</v>
      </c>
      <c r="AR27">
        <v>-1.1464803950218538E-3</v>
      </c>
      <c r="AS27">
        <v>-3.3656940428556936E-3</v>
      </c>
      <c r="AT27">
        <v>-10.239619166732496</v>
      </c>
      <c r="AU27">
        <v>3.3056421718426208</v>
      </c>
      <c r="AV27">
        <v>-1.4297953173143014</v>
      </c>
      <c r="AW27">
        <v>-26.641486353595752</v>
      </c>
      <c r="AX27">
        <v>8.4561490359328531</v>
      </c>
      <c r="AY27" s="1">
        <v>0</v>
      </c>
      <c r="AZ27" s="1">
        <v>0</v>
      </c>
      <c r="BA27" s="1">
        <v>0</v>
      </c>
      <c r="BB27" s="1">
        <v>0</v>
      </c>
      <c r="BC27" s="1">
        <v>-10.233426704014946</v>
      </c>
      <c r="BD27" s="1">
        <v>3.3064425770308077</v>
      </c>
      <c r="BE27" s="1">
        <v>-1.4285714285714306</v>
      </c>
      <c r="BF27" s="1">
        <v>-26.639804639804638</v>
      </c>
      <c r="BG27" s="164">
        <v>8.4566544566544479</v>
      </c>
      <c r="BH27" s="60">
        <v>99.985721298000001</v>
      </c>
      <c r="BI27" s="24">
        <v>1.4278702000000001E-2</v>
      </c>
      <c r="BJ27" s="24">
        <v>0</v>
      </c>
      <c r="BK27" s="25">
        <v>1.4278702000000001E-2</v>
      </c>
      <c r="BL27" s="215" t="s">
        <v>870</v>
      </c>
      <c r="BM27" s="29"/>
      <c r="BN27" s="453">
        <v>0</v>
      </c>
      <c r="BO27" s="454">
        <v>2.1799729E-2</v>
      </c>
      <c r="BP27" s="454">
        <v>1.4278702000000001E-2</v>
      </c>
      <c r="BQ27" s="454">
        <v>0</v>
      </c>
      <c r="BR27" s="501">
        <v>0</v>
      </c>
      <c r="BS27" s="76" t="s">
        <v>220</v>
      </c>
      <c r="BT27" s="76" t="s">
        <v>220</v>
      </c>
      <c r="BU27" s="76" t="s">
        <v>220</v>
      </c>
      <c r="BV27" s="76" t="s">
        <v>220</v>
      </c>
      <c r="BW27" s="76" t="s">
        <v>220</v>
      </c>
      <c r="BX27" s="75" t="s">
        <v>220</v>
      </c>
      <c r="BY27" s="76" t="s">
        <v>220</v>
      </c>
      <c r="BZ27" s="76" t="s">
        <v>220</v>
      </c>
      <c r="CA27" s="76" t="s">
        <v>220</v>
      </c>
      <c r="CB27" s="267" t="s">
        <v>220</v>
      </c>
      <c r="CC27" s="76">
        <v>0</v>
      </c>
      <c r="CD27" s="76">
        <v>2.1799729E-2</v>
      </c>
      <c r="CE27" s="76">
        <v>1.4278702000000001E-2</v>
      </c>
      <c r="CF27" s="76">
        <v>0</v>
      </c>
      <c r="CG27" s="76">
        <v>0</v>
      </c>
      <c r="CH27" s="26"/>
      <c r="CI27" s="77"/>
      <c r="CJ27" s="68"/>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row>
    <row r="28" spans="1:130" ht="14.4" customHeight="1" x14ac:dyDescent="0.3">
      <c r="A28" s="124" t="s">
        <v>756</v>
      </c>
      <c r="B28" s="262" t="s">
        <v>757</v>
      </c>
      <c r="C28" s="262" t="s">
        <v>829</v>
      </c>
      <c r="D28" s="260" t="s">
        <v>830</v>
      </c>
      <c r="E28" s="130" t="s">
        <v>704</v>
      </c>
      <c r="F28" s="130" t="s">
        <v>943</v>
      </c>
      <c r="G28" s="255" t="s">
        <v>211</v>
      </c>
      <c r="H28" s="196"/>
      <c r="I28" s="127" t="s">
        <v>201</v>
      </c>
      <c r="J28" s="152" t="s">
        <v>201</v>
      </c>
      <c r="K28" s="269"/>
      <c r="L28" s="152"/>
      <c r="M28" s="152" t="s">
        <v>201</v>
      </c>
      <c r="N28" s="152"/>
      <c r="O28" s="152"/>
      <c r="P28" s="152"/>
      <c r="Q28" s="411" t="s">
        <v>941</v>
      </c>
      <c r="R28" s="152"/>
      <c r="S28" s="415">
        <v>13</v>
      </c>
      <c r="T28" s="65">
        <v>-0.12159999534375743</v>
      </c>
      <c r="U28" s="65">
        <v>-0.25232408802180828</v>
      </c>
      <c r="V28" s="65">
        <v>-4.0946247315943651E-2</v>
      </c>
      <c r="W28" s="30">
        <v>-5.1105454503125003</v>
      </c>
      <c r="X28" s="30">
        <v>-16.246737875698599</v>
      </c>
      <c r="Y28" s="114">
        <v>-0.26486831187469306</v>
      </c>
      <c r="Z28" s="164">
        <v>-19.441032284906271</v>
      </c>
      <c r="AA28" s="164">
        <v>-41.538942180752244</v>
      </c>
      <c r="AB28" s="164">
        <v>-4.58510549926865</v>
      </c>
      <c r="AC28" s="164">
        <v>0</v>
      </c>
      <c r="AD28" s="164">
        <v>0</v>
      </c>
      <c r="AE28" s="164">
        <v>0</v>
      </c>
      <c r="AF28" s="164">
        <v>-5</v>
      </c>
      <c r="AG28" s="164">
        <v>-16.028057889822591</v>
      </c>
      <c r="AH28" s="164">
        <v>-0.21241830065359579</v>
      </c>
      <c r="AI28" s="164">
        <v>-19.375</v>
      </c>
      <c r="AJ28" s="164">
        <v>-41.42094017094017</v>
      </c>
      <c r="AK28" s="164">
        <v>-4.5405982905982967</v>
      </c>
      <c r="AL28" s="272">
        <v>99.582577220999994</v>
      </c>
      <c r="AM28" s="71">
        <v>0.245269823</v>
      </c>
      <c r="AN28" s="71">
        <v>0.17215295600000002</v>
      </c>
      <c r="AO28" s="72">
        <v>0.41742277900000002</v>
      </c>
      <c r="AP28">
        <v>-9.5685621281248245E-2</v>
      </c>
      <c r="AQ28">
        <v>-0.18703464720194063</v>
      </c>
      <c r="AR28">
        <v>-3.1581349927449764E-2</v>
      </c>
      <c r="AS28">
        <v>-5.0869869284374971</v>
      </c>
      <c r="AT28">
        <v>-16.189939082057407</v>
      </c>
      <c r="AU28">
        <v>-0.25191443563667804</v>
      </c>
      <c r="AV28">
        <v>-19.429253023968755</v>
      </c>
      <c r="AW28">
        <v>-41.508116089792836</v>
      </c>
      <c r="AX28">
        <v>-4.5779238416030523</v>
      </c>
      <c r="AY28" s="1">
        <v>0</v>
      </c>
      <c r="AZ28" s="1">
        <v>0</v>
      </c>
      <c r="BA28" s="1">
        <v>0</v>
      </c>
      <c r="BB28" s="1">
        <v>-5</v>
      </c>
      <c r="BC28" s="1">
        <v>-16.028057889822591</v>
      </c>
      <c r="BD28" s="1">
        <v>-0.21241830065359579</v>
      </c>
      <c r="BE28" s="1">
        <v>-19.375</v>
      </c>
      <c r="BF28" s="1">
        <v>-41.42094017094017</v>
      </c>
      <c r="BG28" s="164">
        <v>-4.5405982905982967</v>
      </c>
      <c r="BH28" s="60">
        <v>99.708222671000001</v>
      </c>
      <c r="BI28" s="24">
        <v>0.11962437300000002</v>
      </c>
      <c r="BJ28" s="24">
        <v>0.17215295600000002</v>
      </c>
      <c r="BK28" s="25">
        <v>0.29177732900000003</v>
      </c>
      <c r="BL28" s="215" t="s">
        <v>868</v>
      </c>
      <c r="BN28" s="453">
        <v>0</v>
      </c>
      <c r="BO28" s="454">
        <v>0.12564544999999999</v>
      </c>
      <c r="BP28" s="454">
        <v>0.11962437300000001</v>
      </c>
      <c r="BQ28" s="454">
        <v>0.103291774</v>
      </c>
      <c r="BR28" s="501">
        <v>6.8861182000000007E-2</v>
      </c>
      <c r="BS28" s="76">
        <v>0</v>
      </c>
      <c r="BT28" s="76">
        <v>0.12564544999999999</v>
      </c>
      <c r="BU28" s="76">
        <v>0.11962437300000001</v>
      </c>
      <c r="BV28" s="76">
        <v>0.103291774</v>
      </c>
      <c r="BW28" s="76">
        <v>6.8861182000000007E-2</v>
      </c>
      <c r="BX28" s="75">
        <v>1.107665E-2</v>
      </c>
      <c r="BY28" s="76">
        <v>0.26583961</v>
      </c>
      <c r="BZ28" s="76">
        <v>0.48737261900000001</v>
      </c>
      <c r="CA28" s="76">
        <v>0.58706247199999995</v>
      </c>
      <c r="CB28" s="267">
        <v>0.42091271600000002</v>
      </c>
      <c r="CC28" s="76">
        <v>0</v>
      </c>
      <c r="CD28" s="76">
        <v>0.68322361499999995</v>
      </c>
      <c r="CE28" s="76">
        <v>0.46501773400000002</v>
      </c>
      <c r="CF28" s="76">
        <v>0.33731169900000002</v>
      </c>
      <c r="CG28" s="76">
        <v>0.27722863399999997</v>
      </c>
      <c r="CH28" s="26"/>
      <c r="CI28" s="77"/>
      <c r="CJ28" s="68"/>
    </row>
    <row r="29" spans="1:130" ht="14.4" customHeight="1" x14ac:dyDescent="0.3">
      <c r="A29" s="124" t="s">
        <v>756</v>
      </c>
      <c r="B29" s="262" t="s">
        <v>757</v>
      </c>
      <c r="C29" s="262" t="s">
        <v>793</v>
      </c>
      <c r="D29" s="260" t="s">
        <v>794</v>
      </c>
      <c r="E29" s="130" t="s">
        <v>704</v>
      </c>
      <c r="F29" s="130" t="s">
        <v>958</v>
      </c>
      <c r="G29" s="255" t="s">
        <v>211</v>
      </c>
      <c r="H29" s="196"/>
      <c r="I29" s="127"/>
      <c r="J29" s="152" t="s">
        <v>267</v>
      </c>
      <c r="K29" s="259"/>
      <c r="L29" s="411" t="s">
        <v>267</v>
      </c>
      <c r="M29" s="127"/>
      <c r="N29" s="127"/>
      <c r="O29" s="127"/>
      <c r="P29" s="127"/>
      <c r="Q29" s="419" t="s">
        <v>957</v>
      </c>
      <c r="R29" s="127"/>
      <c r="S29" s="415">
        <v>14</v>
      </c>
      <c r="T29" s="65">
        <v>-5.670350303948922</v>
      </c>
      <c r="U29" s="65">
        <v>-13.370761906794968</v>
      </c>
      <c r="V29" s="65">
        <v>-0.9958841250381596</v>
      </c>
      <c r="W29" s="30">
        <v>-6.6335352442539772</v>
      </c>
      <c r="X29" s="30">
        <v>-24.053579814216718</v>
      </c>
      <c r="Y29" s="114">
        <v>0.83970357872850343</v>
      </c>
      <c r="Z29" s="164">
        <v>-10.627191661538788</v>
      </c>
      <c r="AA29" s="164">
        <v>-31.892593816065627</v>
      </c>
      <c r="AB29" s="164">
        <v>2.8781821078104599</v>
      </c>
      <c r="AC29" s="164">
        <v>0</v>
      </c>
      <c r="AD29" s="164">
        <v>0</v>
      </c>
      <c r="AE29" s="164">
        <v>0</v>
      </c>
      <c r="AF29" s="164">
        <v>-1.4285714285714306</v>
      </c>
      <c r="AG29" s="164">
        <v>-13.857462985194076</v>
      </c>
      <c r="AH29" s="164">
        <v>2.3223155929038199</v>
      </c>
      <c r="AI29" s="164">
        <v>-7.8571428571428612</v>
      </c>
      <c r="AJ29" s="164">
        <v>-25.614163614163616</v>
      </c>
      <c r="AK29" s="164">
        <v>4.8876678876678881</v>
      </c>
      <c r="AL29" s="272">
        <v>77.732321014346837</v>
      </c>
      <c r="AM29" s="272">
        <v>12.554147058659183</v>
      </c>
      <c r="AN29" s="272">
        <v>9.7135319269939711</v>
      </c>
      <c r="AO29" s="72">
        <v>22.267678985653156</v>
      </c>
      <c r="AP29">
        <v>-4.669980293944846</v>
      </c>
      <c r="AQ29">
        <v>-10.508492659074903</v>
      </c>
      <c r="AR29">
        <v>-0.7903520087457423</v>
      </c>
      <c r="AS29">
        <v>-5.5896708859888662</v>
      </c>
      <c r="AT29">
        <v>-21.906635430939161</v>
      </c>
      <c r="AU29">
        <v>1.088538359506245</v>
      </c>
      <c r="AV29">
        <v>-10.192248178928324</v>
      </c>
      <c r="AW29">
        <v>-30.717205522631644</v>
      </c>
      <c r="AX29">
        <v>3.343460110233778</v>
      </c>
      <c r="AY29" s="162">
        <v>0</v>
      </c>
      <c r="AZ29" s="162">
        <v>0</v>
      </c>
      <c r="BA29" s="162">
        <v>0</v>
      </c>
      <c r="BB29" s="162">
        <v>-1.4285714285714306</v>
      </c>
      <c r="BC29" s="162">
        <v>-13.857462985194076</v>
      </c>
      <c r="BD29" s="162">
        <v>2.3223155929038199</v>
      </c>
      <c r="BE29" s="162">
        <v>-7.8571428571428612</v>
      </c>
      <c r="BF29" s="162">
        <v>-25.614163614163616</v>
      </c>
      <c r="BG29" s="164">
        <v>4.8876678876678881</v>
      </c>
      <c r="BH29" s="60">
        <v>83.821529770893278</v>
      </c>
      <c r="BI29" s="24">
        <v>6.4649383021127633</v>
      </c>
      <c r="BJ29" s="24">
        <v>9.7135319269939711</v>
      </c>
      <c r="BK29" s="25">
        <v>16.178470229106736</v>
      </c>
      <c r="BL29" s="215" t="s">
        <v>870</v>
      </c>
      <c r="BN29" s="453">
        <v>1.0422902890000001</v>
      </c>
      <c r="BO29" s="454">
        <v>6.0257415249999999</v>
      </c>
      <c r="BP29" s="454">
        <v>6.3975548780000002</v>
      </c>
      <c r="BQ29" s="454">
        <v>6.1780414109999997</v>
      </c>
      <c r="BR29" s="501">
        <v>3.434247316</v>
      </c>
      <c r="BS29" s="76" t="s">
        <v>220</v>
      </c>
      <c r="BT29" s="496" t="s">
        <v>220</v>
      </c>
      <c r="BU29" s="496" t="s">
        <v>220</v>
      </c>
      <c r="BV29" s="496" t="s">
        <v>220</v>
      </c>
      <c r="BW29" s="496" t="s">
        <v>220</v>
      </c>
      <c r="BX29" s="499" t="s">
        <v>220</v>
      </c>
      <c r="BY29" s="496" t="s">
        <v>220</v>
      </c>
      <c r="BZ29" s="496" t="s">
        <v>220</v>
      </c>
      <c r="CA29" s="496" t="s">
        <v>220</v>
      </c>
      <c r="CB29" s="497" t="s">
        <v>220</v>
      </c>
      <c r="CC29" s="496">
        <v>1.0422902890000001</v>
      </c>
      <c r="CD29" s="496">
        <v>6.0257415249999999</v>
      </c>
      <c r="CE29" s="496">
        <v>6.3975548780000002</v>
      </c>
      <c r="CF29" s="496">
        <v>6.1780414109999997</v>
      </c>
      <c r="CG29" s="496">
        <v>3.434247316</v>
      </c>
      <c r="CH29" s="26"/>
      <c r="CI29" s="77"/>
      <c r="CJ29" s="68"/>
    </row>
    <row r="30" spans="1:130" ht="14.4" customHeight="1" x14ac:dyDescent="0.3">
      <c r="A30" s="124" t="s">
        <v>756</v>
      </c>
      <c r="B30" s="262" t="s">
        <v>757</v>
      </c>
      <c r="C30" s="262" t="s">
        <v>799</v>
      </c>
      <c r="D30" s="260" t="s">
        <v>800</v>
      </c>
      <c r="E30" s="130" t="s">
        <v>200</v>
      </c>
      <c r="F30" s="394" t="s">
        <v>953</v>
      </c>
      <c r="G30" s="255" t="s">
        <v>211</v>
      </c>
      <c r="H30" s="196"/>
      <c r="I30" s="127"/>
      <c r="J30" s="152" t="s">
        <v>201</v>
      </c>
      <c r="K30" s="269"/>
      <c r="L30" s="152"/>
      <c r="M30" s="411" t="s">
        <v>201</v>
      </c>
      <c r="N30" s="152"/>
      <c r="O30" s="152"/>
      <c r="P30" s="152"/>
      <c r="Q30" s="411">
        <v>499</v>
      </c>
      <c r="R30" s="152"/>
      <c r="S30" s="415">
        <v>15</v>
      </c>
      <c r="T30" s="164">
        <v>-3.5182101521283897</v>
      </c>
      <c r="U30" s="164">
        <v>-5.7402974395776027</v>
      </c>
      <c r="V30" s="164">
        <v>-1.0075621845079468</v>
      </c>
      <c r="W30" s="30">
        <v>-8.515702815409611</v>
      </c>
      <c r="X30" s="30">
        <v>-22.715210120927736</v>
      </c>
      <c r="Y30" s="114">
        <v>1.5932546973626813</v>
      </c>
      <c r="Z30" s="164">
        <v>-15.347056500660116</v>
      </c>
      <c r="AA30" s="164">
        <v>-32.326150070503289</v>
      </c>
      <c r="AB30" s="164">
        <v>1.9881476333049335</v>
      </c>
      <c r="AC30" s="164">
        <v>0</v>
      </c>
      <c r="AD30" s="164">
        <v>0</v>
      </c>
      <c r="AE30" s="164">
        <v>0</v>
      </c>
      <c r="AF30" s="164">
        <v>-5.625</v>
      </c>
      <c r="AG30" s="164">
        <v>-19.276470588235298</v>
      </c>
      <c r="AH30" s="164">
        <v>2.4570261437908414</v>
      </c>
      <c r="AI30" s="164">
        <v>-13.125</v>
      </c>
      <c r="AJ30" s="164">
        <v>-29.575091575091577</v>
      </c>
      <c r="AK30" s="164">
        <v>2.7961233211233179</v>
      </c>
      <c r="AL30" s="272">
        <v>90.647562720266706</v>
      </c>
      <c r="AM30" s="71">
        <v>5.1648053124536535</v>
      </c>
      <c r="AN30" s="71">
        <v>4.1876319672796489</v>
      </c>
      <c r="AO30" s="72">
        <v>9.3524372797333015</v>
      </c>
      <c r="AP30">
        <v>-3.0796082450490871</v>
      </c>
      <c r="AQ30">
        <v>-4.94517497946687</v>
      </c>
      <c r="AR30">
        <v>-1.011243539546129</v>
      </c>
      <c r="AS30">
        <v>-8.1745679987923552</v>
      </c>
      <c r="AT30">
        <v>-22.339186594206794</v>
      </c>
      <c r="AU30">
        <v>1.5475987894451038</v>
      </c>
      <c r="AV30">
        <v>-15.127755547120472</v>
      </c>
      <c r="AW30">
        <v>-32.062048767507662</v>
      </c>
      <c r="AX30">
        <v>1.9656260709917746</v>
      </c>
      <c r="AY30" s="162">
        <v>0</v>
      </c>
      <c r="AZ30" s="162">
        <v>0</v>
      </c>
      <c r="BA30" s="162">
        <v>0</v>
      </c>
      <c r="BB30" s="162">
        <v>-5.625</v>
      </c>
      <c r="BC30" s="162">
        <v>-19.276470588235298</v>
      </c>
      <c r="BD30" s="162">
        <v>2.4570261437908414</v>
      </c>
      <c r="BE30" s="162">
        <v>-13.125</v>
      </c>
      <c r="BF30" s="162">
        <v>-29.575091575091577</v>
      </c>
      <c r="BG30" s="164">
        <v>2.7961233211233179</v>
      </c>
      <c r="BH30" s="60">
        <v>91.251000773249501</v>
      </c>
      <c r="BI30" s="24">
        <v>3.8108506977272958</v>
      </c>
      <c r="BJ30" s="24">
        <v>4.9381485290232119</v>
      </c>
      <c r="BK30" s="25">
        <v>8.7489992267505077</v>
      </c>
      <c r="BL30" s="215" t="s">
        <v>868</v>
      </c>
      <c r="BN30" s="451">
        <v>0.238103479330002</v>
      </c>
      <c r="BO30" s="452">
        <v>1.34129331293106</v>
      </c>
      <c r="BP30" s="452">
        <v>3.8112144183730199</v>
      </c>
      <c r="BQ30" s="452">
        <v>2.7214539226943</v>
      </c>
      <c r="BR30" s="502">
        <v>1.45620714716972</v>
      </c>
      <c r="BS30" s="74">
        <v>0.238103479330002</v>
      </c>
      <c r="BT30" s="500">
        <v>1.34129331293106</v>
      </c>
      <c r="BU30" s="500">
        <v>3.8112144183730199</v>
      </c>
      <c r="BV30" s="500">
        <v>2.7214539226943</v>
      </c>
      <c r="BW30" s="500">
        <v>1.45620714716972</v>
      </c>
      <c r="BX30" s="499" t="s">
        <v>220</v>
      </c>
      <c r="BY30" s="496" t="s">
        <v>220</v>
      </c>
      <c r="BZ30" s="496" t="s">
        <v>220</v>
      </c>
      <c r="CA30" s="496" t="s">
        <v>220</v>
      </c>
      <c r="CB30" s="497" t="s">
        <v>220</v>
      </c>
      <c r="CC30" s="496">
        <v>0.32688968200000001</v>
      </c>
      <c r="CD30" s="496">
        <v>1.942969612</v>
      </c>
      <c r="CE30" s="496">
        <v>3.79839342</v>
      </c>
      <c r="CF30" s="496">
        <v>3.0960214810000002</v>
      </c>
      <c r="CG30" s="496">
        <v>1.8259847499999999</v>
      </c>
      <c r="CH30" s="26"/>
      <c r="CI30" s="77"/>
      <c r="CJ30" s="68"/>
    </row>
    <row r="31" spans="1:130" ht="14.4" customHeight="1" x14ac:dyDescent="0.3">
      <c r="A31" s="124" t="s">
        <v>756</v>
      </c>
      <c r="B31" s="260" t="s">
        <v>757</v>
      </c>
      <c r="C31" s="260" t="s">
        <v>803</v>
      </c>
      <c r="D31" s="260" t="s">
        <v>804</v>
      </c>
      <c r="E31" s="130" t="s">
        <v>186</v>
      </c>
      <c r="F31" s="130" t="s">
        <v>805</v>
      </c>
      <c r="G31" s="255" t="s">
        <v>211</v>
      </c>
      <c r="H31" s="196" t="s">
        <v>806</v>
      </c>
      <c r="I31" s="127" t="s">
        <v>227</v>
      </c>
      <c r="J31" s="152" t="s">
        <v>201</v>
      </c>
      <c r="K31" s="269"/>
      <c r="L31" s="152"/>
      <c r="M31" s="152" t="s">
        <v>227</v>
      </c>
      <c r="N31" s="152" t="s">
        <v>201</v>
      </c>
      <c r="O31" s="152" t="s">
        <v>201</v>
      </c>
      <c r="P31" s="411">
        <v>324</v>
      </c>
      <c r="Q31" s="411">
        <v>4</v>
      </c>
      <c r="R31" s="152"/>
      <c r="S31" s="415">
        <v>17</v>
      </c>
      <c r="T31" s="164">
        <v>-3.490279545407148</v>
      </c>
      <c r="U31" s="164">
        <v>-7.3089750970910785</v>
      </c>
      <c r="V31" s="164">
        <v>-1.5095897386440384</v>
      </c>
      <c r="W31" s="30">
        <v>-6.560708060164302</v>
      </c>
      <c r="X31" s="30">
        <v>-16.750733850247457</v>
      </c>
      <c r="Y31" s="114">
        <v>-7.0689815135381195E-2</v>
      </c>
      <c r="Z31" s="164">
        <v>-13.966731253535713</v>
      </c>
      <c r="AA31" s="164">
        <v>-33.321429635911826</v>
      </c>
      <c r="AB31" s="164">
        <v>0.22264507525103738</v>
      </c>
      <c r="AC31" s="164">
        <v>0</v>
      </c>
      <c r="AD31" s="164">
        <v>0</v>
      </c>
      <c r="AE31" s="164">
        <v>0</v>
      </c>
      <c r="AF31" s="164">
        <v>-2.8571428571428612</v>
      </c>
      <c r="AG31" s="164">
        <v>-10.582633053221286</v>
      </c>
      <c r="AH31" s="164">
        <v>1.662905162064817</v>
      </c>
      <c r="AI31" s="164">
        <v>-12.142857142857139</v>
      </c>
      <c r="AJ31" s="164">
        <v>-31.801674515960229</v>
      </c>
      <c r="AK31" s="164">
        <v>1.2873888016745241</v>
      </c>
      <c r="AL31" s="272">
        <v>84.651438166999995</v>
      </c>
      <c r="AM31" s="272">
        <v>14.511430233</v>
      </c>
      <c r="AN31" s="272">
        <v>0.83713159999999998</v>
      </c>
      <c r="AO31" s="72">
        <v>15.348561833</v>
      </c>
      <c r="AP31">
        <v>-2.7493974047857108</v>
      </c>
      <c r="AQ31">
        <v>-5.6653652978321247</v>
      </c>
      <c r="AR31">
        <v>-1.1993494364350994</v>
      </c>
      <c r="AS31">
        <v>-5.7687305995000031</v>
      </c>
      <c r="AT31">
        <v>-15.374050215880061</v>
      </c>
      <c r="AU31">
        <v>0.29762343950960712</v>
      </c>
      <c r="AV31">
        <v>-13.583516353214279</v>
      </c>
      <c r="AW31">
        <v>-33.017346974836258</v>
      </c>
      <c r="AX31">
        <v>0.45697607378605198</v>
      </c>
      <c r="AY31" s="162">
        <v>0</v>
      </c>
      <c r="AZ31" s="162">
        <v>0</v>
      </c>
      <c r="BA31" s="162">
        <v>0</v>
      </c>
      <c r="BB31" s="162">
        <v>-2.8571428571428612</v>
      </c>
      <c r="BC31" s="162">
        <v>-10.582633053221286</v>
      </c>
      <c r="BD31" s="162">
        <v>1.662905162064817</v>
      </c>
      <c r="BE31" s="162">
        <v>-12.142857142857139</v>
      </c>
      <c r="BF31" s="162">
        <v>-31.801674515960229</v>
      </c>
      <c r="BG31" s="164">
        <v>1.2873888016745241</v>
      </c>
      <c r="BH31" s="60">
        <v>88.228110569999998</v>
      </c>
      <c r="BI31" s="24">
        <v>10.934757830000001</v>
      </c>
      <c r="BJ31" s="24">
        <v>0.83713159999999998</v>
      </c>
      <c r="BK31" s="25">
        <v>11.77188943</v>
      </c>
      <c r="BL31" s="215" t="s">
        <v>870</v>
      </c>
      <c r="BN31" s="453">
        <v>0</v>
      </c>
      <c r="BO31" s="454">
        <v>3.5766724029999999</v>
      </c>
      <c r="BP31" s="454">
        <v>10.934757830000001</v>
      </c>
      <c r="BQ31" s="454">
        <v>0.83713159999999998</v>
      </c>
      <c r="BR31" s="501">
        <v>0</v>
      </c>
      <c r="BS31" s="496" t="s">
        <v>220</v>
      </c>
      <c r="BT31" s="496" t="s">
        <v>220</v>
      </c>
      <c r="BU31" s="496" t="s">
        <v>220</v>
      </c>
      <c r="BV31" s="496" t="s">
        <v>220</v>
      </c>
      <c r="BW31" s="496" t="s">
        <v>220</v>
      </c>
      <c r="BX31" s="499" t="s">
        <v>220</v>
      </c>
      <c r="BY31" s="496" t="s">
        <v>220</v>
      </c>
      <c r="BZ31" s="496" t="s">
        <v>220</v>
      </c>
      <c r="CA31" s="496" t="s">
        <v>220</v>
      </c>
      <c r="CB31" s="497" t="s">
        <v>220</v>
      </c>
      <c r="CC31" s="496">
        <v>0</v>
      </c>
      <c r="CD31" s="496">
        <v>3.5766724029999999</v>
      </c>
      <c r="CE31" s="496">
        <v>10.934757830000001</v>
      </c>
      <c r="CF31" s="496">
        <v>0.83713159999999998</v>
      </c>
      <c r="CG31" s="496">
        <v>0</v>
      </c>
      <c r="CH31" s="26"/>
      <c r="CI31" s="77"/>
      <c r="CJ31" s="68"/>
    </row>
    <row r="32" spans="1:130" ht="14.4" customHeight="1" x14ac:dyDescent="0.3">
      <c r="A32" s="124" t="s">
        <v>756</v>
      </c>
      <c r="B32" s="124" t="s">
        <v>766</v>
      </c>
      <c r="C32" s="124" t="s">
        <v>827</v>
      </c>
      <c r="D32" s="124" t="s">
        <v>828</v>
      </c>
      <c r="E32" s="130" t="s">
        <v>186</v>
      </c>
      <c r="F32" s="130" t="s">
        <v>959</v>
      </c>
      <c r="G32" s="255" t="s">
        <v>211</v>
      </c>
      <c r="H32" s="196"/>
      <c r="I32" s="199"/>
      <c r="J32" s="154" t="s">
        <v>267</v>
      </c>
      <c r="K32" s="270"/>
      <c r="L32" s="411" t="s">
        <v>267</v>
      </c>
      <c r="M32" s="154"/>
      <c r="N32" s="154"/>
      <c r="O32" s="154"/>
      <c r="P32" s="154"/>
      <c r="Q32" s="419" t="s">
        <v>957</v>
      </c>
      <c r="R32" s="154"/>
      <c r="S32" s="415">
        <v>18</v>
      </c>
      <c r="T32" s="164">
        <v>-1.2738571570428547</v>
      </c>
      <c r="U32" s="164">
        <v>-2.707683696153893</v>
      </c>
      <c r="V32" s="164">
        <v>-0.32152419588956604</v>
      </c>
      <c r="W32" s="30">
        <v>-1.1670570103785849</v>
      </c>
      <c r="X32" s="30">
        <v>-9.9865273712647706</v>
      </c>
      <c r="Y32" s="114">
        <v>3.2606710322049395</v>
      </c>
      <c r="Z32" s="164">
        <v>-1.2909551115357232</v>
      </c>
      <c r="AA32" s="164">
        <v>-17.979329580424263</v>
      </c>
      <c r="AB32" s="164">
        <v>7.3950188424653334</v>
      </c>
      <c r="AC32" s="164">
        <v>0</v>
      </c>
      <c r="AD32" s="164">
        <v>0</v>
      </c>
      <c r="AE32" s="164">
        <v>0</v>
      </c>
      <c r="AF32" s="164">
        <v>0</v>
      </c>
      <c r="AG32" s="164">
        <v>-7.7254901960784252</v>
      </c>
      <c r="AH32" s="164">
        <v>4.058823529411768</v>
      </c>
      <c r="AI32" s="164">
        <v>-0.7142857142857082</v>
      </c>
      <c r="AJ32" s="164">
        <v>-16.780650721827186</v>
      </c>
      <c r="AK32" s="164">
        <v>7.6414565826330545</v>
      </c>
      <c r="AL32" s="272">
        <v>92.464253603999992</v>
      </c>
      <c r="AM32" s="272">
        <v>7.4162741370000003</v>
      </c>
      <c r="AN32" s="272">
        <v>0.11947225899999998</v>
      </c>
      <c r="AO32" s="72">
        <v>7.5357463960000004</v>
      </c>
      <c r="AP32">
        <v>-0.57779822219285393</v>
      </c>
      <c r="AQ32">
        <v>-1.2080255480852742</v>
      </c>
      <c r="AR32">
        <v>-0.15201376418514201</v>
      </c>
      <c r="AS32">
        <v>-0.53152493942857859</v>
      </c>
      <c r="AT32">
        <v>-8.7388258250183668</v>
      </c>
      <c r="AU32">
        <v>3.7019941636173144</v>
      </c>
      <c r="AV32">
        <v>-0.98832079203572221</v>
      </c>
      <c r="AW32">
        <v>-17.327564415852976</v>
      </c>
      <c r="AX32">
        <v>7.5286617927869344</v>
      </c>
      <c r="AY32" s="162">
        <v>0</v>
      </c>
      <c r="AZ32" s="162">
        <v>0</v>
      </c>
      <c r="BA32" s="162">
        <v>0</v>
      </c>
      <c r="BB32" s="162">
        <v>0</v>
      </c>
      <c r="BC32" s="162">
        <v>-7.7254901960784252</v>
      </c>
      <c r="BD32" s="162">
        <v>4.058823529411768</v>
      </c>
      <c r="BE32" s="162">
        <v>-0.7142857142857082</v>
      </c>
      <c r="BF32" s="162">
        <v>-16.780650721827186</v>
      </c>
      <c r="BG32" s="164">
        <v>7.6414565826330545</v>
      </c>
      <c r="BH32" s="60">
        <v>96.701134076999992</v>
      </c>
      <c r="BI32" s="24">
        <v>3.179393664</v>
      </c>
      <c r="BJ32" s="24">
        <v>0.11947225899999998</v>
      </c>
      <c r="BK32" s="25">
        <v>3.2988659230000001</v>
      </c>
      <c r="BL32" s="215" t="s">
        <v>870</v>
      </c>
      <c r="BN32" s="453">
        <v>0</v>
      </c>
      <c r="BO32" s="454">
        <v>4.2368804730000003</v>
      </c>
      <c r="BP32" s="454">
        <v>3.179393664</v>
      </c>
      <c r="BQ32" s="454">
        <v>0.119472259</v>
      </c>
      <c r="BR32" s="501">
        <v>0</v>
      </c>
      <c r="BS32" s="496" t="s">
        <v>220</v>
      </c>
      <c r="BT32" s="496" t="s">
        <v>220</v>
      </c>
      <c r="BU32" s="496" t="s">
        <v>220</v>
      </c>
      <c r="BV32" s="496" t="s">
        <v>220</v>
      </c>
      <c r="BW32" s="496" t="s">
        <v>220</v>
      </c>
      <c r="BX32" s="499" t="s">
        <v>220</v>
      </c>
      <c r="BY32" s="496" t="s">
        <v>220</v>
      </c>
      <c r="BZ32" s="496" t="s">
        <v>220</v>
      </c>
      <c r="CA32" s="496" t="s">
        <v>220</v>
      </c>
      <c r="CB32" s="497" t="s">
        <v>220</v>
      </c>
      <c r="CC32" s="496">
        <v>0</v>
      </c>
      <c r="CD32" s="496">
        <v>4.2368804730000003</v>
      </c>
      <c r="CE32" s="496">
        <v>3.179393664</v>
      </c>
      <c r="CF32" s="496">
        <v>0.119472259</v>
      </c>
      <c r="CG32" s="496">
        <v>0</v>
      </c>
      <c r="CH32" s="26"/>
      <c r="CI32" s="77"/>
      <c r="CJ32" s="68"/>
    </row>
    <row r="33" spans="1:130" ht="14.4" customHeight="1" x14ac:dyDescent="0.3">
      <c r="A33" s="124" t="s">
        <v>756</v>
      </c>
      <c r="B33" s="124" t="s">
        <v>766</v>
      </c>
      <c r="C33" s="124" t="s">
        <v>823</v>
      </c>
      <c r="D33" s="124" t="s">
        <v>824</v>
      </c>
      <c r="E33" s="130" t="s">
        <v>200</v>
      </c>
      <c r="F33" s="130" t="s">
        <v>951</v>
      </c>
      <c r="G33" s="255" t="s">
        <v>211</v>
      </c>
      <c r="H33" s="196"/>
      <c r="I33" s="199"/>
      <c r="J33" s="154" t="s">
        <v>227</v>
      </c>
      <c r="K33" s="270"/>
      <c r="L33" s="154"/>
      <c r="M33" s="410" t="s">
        <v>227</v>
      </c>
      <c r="N33" s="154"/>
      <c r="O33" s="154"/>
      <c r="P33" s="410">
        <v>71</v>
      </c>
      <c r="Q33" s="410">
        <v>8</v>
      </c>
      <c r="R33" s="154"/>
      <c r="S33" s="415">
        <v>19</v>
      </c>
      <c r="T33" s="164">
        <v>-1.810937497735722</v>
      </c>
      <c r="U33" s="164">
        <v>-4.2749123001096905</v>
      </c>
      <c r="V33" s="164">
        <v>-0.55128382026207134</v>
      </c>
      <c r="W33" s="30">
        <v>-1.8665734889028585</v>
      </c>
      <c r="X33" s="30">
        <v>-15.846599244497213</v>
      </c>
      <c r="Y33" s="114">
        <v>0.79023332004398128</v>
      </c>
      <c r="Z33" s="164">
        <v>-3.8912343695057245</v>
      </c>
      <c r="AA33" s="164">
        <v>-18.8430633893324</v>
      </c>
      <c r="AB33" s="164">
        <v>4.0675601202607368</v>
      </c>
      <c r="AC33" s="164">
        <v>0</v>
      </c>
      <c r="AD33" s="164">
        <v>0</v>
      </c>
      <c r="AE33" s="164">
        <v>0</v>
      </c>
      <c r="AF33" s="164">
        <v>0</v>
      </c>
      <c r="AG33" s="164">
        <v>-11.591036414565821</v>
      </c>
      <c r="AH33" s="164">
        <v>1.915966386554615</v>
      </c>
      <c r="AI33" s="164">
        <v>-2.8571428571428612</v>
      </c>
      <c r="AJ33" s="164">
        <v>-15.875888817065288</v>
      </c>
      <c r="AK33" s="164">
        <v>4.0224089635854341</v>
      </c>
      <c r="AL33" s="272">
        <v>87.066159382999999</v>
      </c>
      <c r="AM33" s="272">
        <v>12.219284803999999</v>
      </c>
      <c r="AN33" s="272">
        <v>0.71455581300000004</v>
      </c>
      <c r="AO33" s="72">
        <v>12.933840617</v>
      </c>
      <c r="AP33">
        <v>-1.4761226382214261</v>
      </c>
      <c r="AQ33">
        <v>-3.4614671916894793</v>
      </c>
      <c r="AR33">
        <v>-0.46201909581209577</v>
      </c>
      <c r="AS33">
        <v>-1.5131578038599969</v>
      </c>
      <c r="AT33">
        <v>-15.029100510793739</v>
      </c>
      <c r="AU33">
        <v>1.0085158713114737</v>
      </c>
      <c r="AV33">
        <v>-3.7052261142199967</v>
      </c>
      <c r="AW33">
        <v>-18.292108620508742</v>
      </c>
      <c r="AX33">
        <v>4.0399085763075675</v>
      </c>
      <c r="AY33" s="162">
        <v>0</v>
      </c>
      <c r="AZ33" s="162">
        <v>0</v>
      </c>
      <c r="BA33" s="162">
        <v>0</v>
      </c>
      <c r="BB33" s="162">
        <v>0</v>
      </c>
      <c r="BC33" s="162">
        <v>-11.591036414565821</v>
      </c>
      <c r="BD33" s="162">
        <v>1.915966386554615</v>
      </c>
      <c r="BE33" s="162">
        <v>-2.8571428571428612</v>
      </c>
      <c r="BF33" s="162">
        <v>-15.875888817065288</v>
      </c>
      <c r="BG33" s="164">
        <v>4.0224089635854341</v>
      </c>
      <c r="BH33" s="60">
        <v>89.670274957000004</v>
      </c>
      <c r="BI33" s="24">
        <v>9.6151692299999993</v>
      </c>
      <c r="BJ33" s="24">
        <v>0.71455581300000004</v>
      </c>
      <c r="BK33" s="25">
        <v>10.329725043</v>
      </c>
      <c r="BL33" s="215" t="s">
        <v>870</v>
      </c>
      <c r="BN33" s="453">
        <v>0</v>
      </c>
      <c r="BO33" s="454">
        <v>2.6041155740000002</v>
      </c>
      <c r="BP33" s="454">
        <v>9.6151692299999993</v>
      </c>
      <c r="BQ33" s="454">
        <v>0.71455581300000004</v>
      </c>
      <c r="BR33" s="501">
        <v>0</v>
      </c>
      <c r="BS33" s="496" t="s">
        <v>220</v>
      </c>
      <c r="BT33" s="496" t="s">
        <v>220</v>
      </c>
      <c r="BU33" s="496" t="s">
        <v>220</v>
      </c>
      <c r="BV33" s="496" t="s">
        <v>220</v>
      </c>
      <c r="BW33" s="496" t="s">
        <v>220</v>
      </c>
      <c r="BX33" s="499" t="s">
        <v>220</v>
      </c>
      <c r="BY33" s="496" t="s">
        <v>220</v>
      </c>
      <c r="BZ33" s="496" t="s">
        <v>220</v>
      </c>
      <c r="CA33" s="496" t="s">
        <v>220</v>
      </c>
      <c r="CB33" s="497" t="s">
        <v>220</v>
      </c>
      <c r="CC33" s="496">
        <v>0</v>
      </c>
      <c r="CD33" s="496">
        <v>2.6041155740000002</v>
      </c>
      <c r="CE33" s="496">
        <v>9.6151692299999993</v>
      </c>
      <c r="CF33" s="496">
        <v>0.71455581300000004</v>
      </c>
      <c r="CG33" s="496">
        <v>0</v>
      </c>
      <c r="CH33" s="26"/>
      <c r="CI33" s="77"/>
      <c r="CJ33" s="68"/>
    </row>
    <row r="34" spans="1:130" s="51" customFormat="1" ht="14.4" customHeight="1" x14ac:dyDescent="0.3">
      <c r="A34" s="124" t="s">
        <v>756</v>
      </c>
      <c r="B34" s="262" t="s">
        <v>766</v>
      </c>
      <c r="C34" s="262" t="s">
        <v>801</v>
      </c>
      <c r="D34" s="263" t="s">
        <v>802</v>
      </c>
      <c r="E34" s="130" t="s">
        <v>186</v>
      </c>
      <c r="F34" s="130" t="s">
        <v>769</v>
      </c>
      <c r="G34" s="255" t="s">
        <v>211</v>
      </c>
      <c r="H34" s="196"/>
      <c r="I34" s="127"/>
      <c r="J34" s="256" t="s">
        <v>188</v>
      </c>
      <c r="K34" s="268"/>
      <c r="L34" s="256"/>
      <c r="M34" s="256"/>
      <c r="N34" s="256"/>
      <c r="O34" s="256"/>
      <c r="P34" s="418">
        <v>21334</v>
      </c>
      <c r="Q34" s="418">
        <v>1956</v>
      </c>
      <c r="R34" s="256"/>
      <c r="S34" s="415">
        <v>20</v>
      </c>
      <c r="T34" s="164">
        <v>-4.029708248276151</v>
      </c>
      <c r="U34" s="164">
        <v>-9.8291478037646556</v>
      </c>
      <c r="V34" s="164">
        <v>-1.161378896525278</v>
      </c>
      <c r="W34" s="30">
        <v>-3.3079135087126019</v>
      </c>
      <c r="X34" s="30">
        <v>-15.359960011258821</v>
      </c>
      <c r="Y34" s="114">
        <v>3.4970839889301431</v>
      </c>
      <c r="Z34" s="164">
        <v>-1.4665457246143632</v>
      </c>
      <c r="AA34" s="164">
        <v>-14.664821146992224</v>
      </c>
      <c r="AB34" s="164">
        <v>8.2980352430309097</v>
      </c>
      <c r="AC34" s="164">
        <v>0</v>
      </c>
      <c r="AD34" s="164">
        <v>0</v>
      </c>
      <c r="AE34" s="164">
        <v>0</v>
      </c>
      <c r="AF34" s="164">
        <v>0</v>
      </c>
      <c r="AG34" s="164">
        <v>-5.7508870214752505</v>
      </c>
      <c r="AH34" s="164">
        <v>5.4969187675069975</v>
      </c>
      <c r="AI34" s="164">
        <v>0</v>
      </c>
      <c r="AJ34" s="164">
        <v>-8.2885872297637064</v>
      </c>
      <c r="AK34" s="164">
        <v>9.3874883286648014</v>
      </c>
      <c r="AL34" s="272">
        <v>72.498038026206501</v>
      </c>
      <c r="AM34" s="71">
        <v>16.306231528446474</v>
      </c>
      <c r="AN34" s="71">
        <v>11.195730445347023</v>
      </c>
      <c r="AO34" s="72">
        <v>27.501961973793499</v>
      </c>
      <c r="AP34">
        <v>-3.4976457642262062</v>
      </c>
      <c r="AQ34">
        <v>-8.5401678722122085</v>
      </c>
      <c r="AR34">
        <v>-1.1029104916846251</v>
      </c>
      <c r="AS34">
        <v>-2.9278688772483576</v>
      </c>
      <c r="AT34">
        <v>-14.131435209279971</v>
      </c>
      <c r="AU34">
        <v>3.7966263071121631</v>
      </c>
      <c r="AV34">
        <v>-1.2385189457358194</v>
      </c>
      <c r="AW34">
        <v>-13.756736941611294</v>
      </c>
      <c r="AX34">
        <v>8.3986702316389596</v>
      </c>
      <c r="AY34" s="162">
        <v>0</v>
      </c>
      <c r="AZ34" s="162">
        <v>0</v>
      </c>
      <c r="BA34" s="162">
        <v>0</v>
      </c>
      <c r="BB34" s="162">
        <v>0</v>
      </c>
      <c r="BC34" s="162">
        <v>-5.7508870214752505</v>
      </c>
      <c r="BD34" s="162">
        <v>5.4969187675069975</v>
      </c>
      <c r="BE34" s="162">
        <v>0</v>
      </c>
      <c r="BF34" s="162">
        <v>-8.2885872297637064</v>
      </c>
      <c r="BG34" s="164">
        <v>9.3874883286648014</v>
      </c>
      <c r="BH34" s="60">
        <v>77.818662866705935</v>
      </c>
      <c r="BI34" s="24">
        <v>10.985606687947037</v>
      </c>
      <c r="BJ34" s="24">
        <v>11.195730445347023</v>
      </c>
      <c r="BK34" s="25">
        <v>22.181337133294058</v>
      </c>
      <c r="BL34" s="215" t="s">
        <v>868</v>
      </c>
      <c r="BM34" s="29"/>
      <c r="BN34" s="451">
        <v>0.44650448897239797</v>
      </c>
      <c r="BO34" s="452">
        <v>5.2968680117452305</v>
      </c>
      <c r="BP34" s="452">
        <v>10.936555460944501</v>
      </c>
      <c r="BQ34" s="452">
        <v>8.8856911700302295</v>
      </c>
      <c r="BR34" s="502">
        <v>2.2600498363050701</v>
      </c>
      <c r="BS34" s="500">
        <v>0.44650448897239797</v>
      </c>
      <c r="BT34" s="500">
        <v>5.2968680117452305</v>
      </c>
      <c r="BU34" s="500">
        <v>10.936555460944501</v>
      </c>
      <c r="BV34" s="500">
        <v>8.8856911700302295</v>
      </c>
      <c r="BW34" s="500">
        <v>2.2600498363050701</v>
      </c>
      <c r="BX34" s="207">
        <v>0.30019758400000002</v>
      </c>
      <c r="BY34" s="146">
        <v>8.7084051500000008</v>
      </c>
      <c r="BZ34" s="146">
        <v>16.851575130000001</v>
      </c>
      <c r="CA34" s="146">
        <v>13.54462453</v>
      </c>
      <c r="CB34" s="163">
        <v>3.680525566</v>
      </c>
      <c r="CC34" s="500">
        <v>0.61220367467224501</v>
      </c>
      <c r="CD34" s="500">
        <v>4.6026309415430902</v>
      </c>
      <c r="CE34" s="500">
        <v>9.3245097655084894</v>
      </c>
      <c r="CF34" s="500">
        <v>7.6380644777739999</v>
      </c>
      <c r="CG34" s="500">
        <v>2.0596373524770799</v>
      </c>
      <c r="CH34" s="26"/>
      <c r="CI34" s="77"/>
      <c r="CJ34" s="68"/>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row>
    <row r="35" spans="1:130" s="51" customFormat="1" ht="14.4" customHeight="1" x14ac:dyDescent="0.3">
      <c r="A35" s="124" t="s">
        <v>756</v>
      </c>
      <c r="B35" s="262" t="s">
        <v>757</v>
      </c>
      <c r="C35" s="262" t="s">
        <v>782</v>
      </c>
      <c r="D35" s="260" t="s">
        <v>783</v>
      </c>
      <c r="E35" s="128" t="s">
        <v>200</v>
      </c>
      <c r="F35" s="394" t="s">
        <v>953</v>
      </c>
      <c r="G35" s="255" t="s">
        <v>211</v>
      </c>
      <c r="H35" s="196" t="s">
        <v>784</v>
      </c>
      <c r="I35" s="127"/>
      <c r="J35" s="152" t="s">
        <v>201</v>
      </c>
      <c r="K35" s="269"/>
      <c r="L35" s="152"/>
      <c r="M35" s="411" t="s">
        <v>201</v>
      </c>
      <c r="N35" s="152"/>
      <c r="O35" s="152"/>
      <c r="P35" s="152"/>
      <c r="Q35" s="411">
        <v>499</v>
      </c>
      <c r="R35" s="152"/>
      <c r="S35" s="415">
        <v>21</v>
      </c>
      <c r="T35" s="164">
        <v>-8.4929152380749997</v>
      </c>
      <c r="U35" s="164">
        <v>-13.806607060334969</v>
      </c>
      <c r="V35" s="164">
        <v>-3.3674880176310751</v>
      </c>
      <c r="W35" s="30">
        <v>-9.3049216200937508</v>
      </c>
      <c r="X35" s="30">
        <v>-26.891892162871969</v>
      </c>
      <c r="Y35" s="114">
        <v>0.62088489233255473</v>
      </c>
      <c r="Z35" s="164">
        <v>-6.5365099127375004</v>
      </c>
      <c r="AA35" s="164">
        <v>-29.672046297714587</v>
      </c>
      <c r="AB35" s="164">
        <v>5.0663260761024418</v>
      </c>
      <c r="AC35" s="164">
        <v>0</v>
      </c>
      <c r="AD35" s="164">
        <v>0</v>
      </c>
      <c r="AE35" s="164">
        <v>0</v>
      </c>
      <c r="AF35" s="164">
        <v>-1.875</v>
      </c>
      <c r="AG35" s="164">
        <v>-16.67051820728291</v>
      </c>
      <c r="AH35" s="164">
        <v>2.7598039215686327</v>
      </c>
      <c r="AI35" s="164">
        <v>-3.125</v>
      </c>
      <c r="AJ35" s="164">
        <v>-24.220543345543348</v>
      </c>
      <c r="AK35" s="164">
        <v>5.8611111111111143</v>
      </c>
      <c r="AL35" s="272">
        <v>77.734727832000004</v>
      </c>
      <c r="AM35" s="71">
        <v>10.691287852999999</v>
      </c>
      <c r="AN35" s="71">
        <v>11.573984315000001</v>
      </c>
      <c r="AO35" s="72">
        <v>22.265272167999999</v>
      </c>
      <c r="AP35">
        <v>-7.6158008964000032</v>
      </c>
      <c r="AQ35">
        <v>-12.002204194863381</v>
      </c>
      <c r="AR35">
        <v>-3.2097815316032978</v>
      </c>
      <c r="AS35">
        <v>-8.5309972009687414</v>
      </c>
      <c r="AT35">
        <v>-25.779527699230968</v>
      </c>
      <c r="AU35">
        <v>0.63045569650442701</v>
      </c>
      <c r="AV35">
        <v>-6.252737625725004</v>
      </c>
      <c r="AW35">
        <v>-29.368650286114587</v>
      </c>
      <c r="AX35">
        <v>5.0642975562574435</v>
      </c>
      <c r="AY35" s="162">
        <v>0</v>
      </c>
      <c r="AZ35" s="162">
        <v>0</v>
      </c>
      <c r="BA35" s="162">
        <v>0</v>
      </c>
      <c r="BB35" s="162">
        <v>-1.875</v>
      </c>
      <c r="BC35" s="162">
        <v>-16.67051820728291</v>
      </c>
      <c r="BD35" s="162">
        <v>2.7598039215686327</v>
      </c>
      <c r="BE35" s="162">
        <v>-3.125</v>
      </c>
      <c r="BF35" s="162">
        <v>-24.220543345543348</v>
      </c>
      <c r="BG35" s="164">
        <v>5.8611111111111143</v>
      </c>
      <c r="BH35" s="60">
        <v>81.862324733999998</v>
      </c>
      <c r="BI35" s="24">
        <v>6.563690950999999</v>
      </c>
      <c r="BJ35" s="24">
        <v>11.573984315000001</v>
      </c>
      <c r="BK35" s="25">
        <v>18.137675265999999</v>
      </c>
      <c r="BL35" s="215" t="s">
        <v>868</v>
      </c>
      <c r="BM35" s="29"/>
      <c r="BN35" s="453">
        <v>0</v>
      </c>
      <c r="BO35" s="454">
        <v>4.1275969019999996</v>
      </c>
      <c r="BP35" s="454">
        <v>6.5636909509999999</v>
      </c>
      <c r="BQ35" s="454">
        <v>6.0980494399999996</v>
      </c>
      <c r="BR35" s="501">
        <v>5.4759348750000001</v>
      </c>
      <c r="BS35" s="496">
        <v>0</v>
      </c>
      <c r="BT35" s="496">
        <v>4.1275969019999996</v>
      </c>
      <c r="BU35" s="496">
        <v>6.5636909509999999</v>
      </c>
      <c r="BV35" s="496">
        <v>6.0980494399999996</v>
      </c>
      <c r="BW35" s="496">
        <v>5.4759348750000001</v>
      </c>
      <c r="BX35" s="499">
        <v>0</v>
      </c>
      <c r="BY35" s="496">
        <v>4.1314387210000003</v>
      </c>
      <c r="BZ35" s="496">
        <v>6.5293072820000004</v>
      </c>
      <c r="CA35" s="496">
        <v>6.0852575489999996</v>
      </c>
      <c r="CB35" s="497">
        <v>5.4635879220000003</v>
      </c>
      <c r="CC35" s="496">
        <v>0.37836906399999998</v>
      </c>
      <c r="CD35" s="496">
        <v>7.0360657910000004</v>
      </c>
      <c r="CE35" s="496">
        <v>5.462352106</v>
      </c>
      <c r="CF35" s="496">
        <v>5.2405054760000001</v>
      </c>
      <c r="CG35" s="496">
        <v>2.2530830449999999</v>
      </c>
      <c r="CH35" s="26"/>
      <c r="CI35" s="77"/>
      <c r="CJ35" s="68"/>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row>
    <row r="36" spans="1:130" ht="14.4" customHeight="1" x14ac:dyDescent="0.3">
      <c r="A36" s="124" t="s">
        <v>756</v>
      </c>
      <c r="B36" s="262" t="s">
        <v>757</v>
      </c>
      <c r="C36" s="264" t="s">
        <v>797</v>
      </c>
      <c r="D36" s="260" t="s">
        <v>798</v>
      </c>
      <c r="E36" s="130" t="s">
        <v>704</v>
      </c>
      <c r="F36" s="130" t="s">
        <v>952</v>
      </c>
      <c r="G36" s="255" t="s">
        <v>211</v>
      </c>
      <c r="H36" s="196"/>
      <c r="I36" s="127"/>
      <c r="J36" s="152" t="s">
        <v>266</v>
      </c>
      <c r="K36" s="269"/>
      <c r="L36" s="152"/>
      <c r="M36" s="411" t="s">
        <v>266</v>
      </c>
      <c r="N36" s="152"/>
      <c r="O36" s="152"/>
      <c r="P36" s="152"/>
      <c r="Q36" s="152"/>
      <c r="R36" s="152"/>
      <c r="S36" s="415">
        <v>22</v>
      </c>
      <c r="T36" s="164">
        <v>-4.2608183324839786</v>
      </c>
      <c r="U36" s="164">
        <v>-7.2414901153799462</v>
      </c>
      <c r="V36" s="164">
        <v>-1.5864089232520371</v>
      </c>
      <c r="W36" s="30">
        <v>-4.950901498661068</v>
      </c>
      <c r="X36" s="30">
        <v>-20.923194434639285</v>
      </c>
      <c r="Y36" s="114">
        <v>3.041912774214012</v>
      </c>
      <c r="Z36" s="164">
        <v>-7.8055388377358383</v>
      </c>
      <c r="AA36" s="164">
        <v>-28.629905122361535</v>
      </c>
      <c r="AB36" s="164">
        <v>5.8986352190133289</v>
      </c>
      <c r="AC36" s="164">
        <v>0</v>
      </c>
      <c r="AD36" s="164">
        <v>0</v>
      </c>
      <c r="AE36" s="164">
        <v>0</v>
      </c>
      <c r="AF36" s="164">
        <v>-1.25</v>
      </c>
      <c r="AG36" s="164">
        <v>-15.462184873949582</v>
      </c>
      <c r="AH36" s="164">
        <v>4.6764705882352899</v>
      </c>
      <c r="AI36" s="164">
        <v>-6.25</v>
      </c>
      <c r="AJ36" s="164">
        <v>-26.067765567765576</v>
      </c>
      <c r="AK36" s="164">
        <v>7</v>
      </c>
      <c r="AL36" s="272">
        <v>88.866787326709158</v>
      </c>
      <c r="AM36" s="71">
        <v>6.4509580573080969</v>
      </c>
      <c r="AN36" s="71">
        <v>4.6822546159827372</v>
      </c>
      <c r="AO36" s="72">
        <v>11.133212673290835</v>
      </c>
      <c r="AP36">
        <v>-3.8184807876802864</v>
      </c>
      <c r="AQ36">
        <v>-6.2536855347011482</v>
      </c>
      <c r="AR36">
        <v>-1.4480493737569589</v>
      </c>
      <c r="AS36">
        <v>-4.5454254159243419</v>
      </c>
      <c r="AT36">
        <v>-20.22826731503406</v>
      </c>
      <c r="AU36">
        <v>3.2030447276323031</v>
      </c>
      <c r="AV36">
        <v>-7.6703801434902772</v>
      </c>
      <c r="AW36">
        <v>-28.416630733899311</v>
      </c>
      <c r="AX36">
        <v>6.0101647709082897</v>
      </c>
      <c r="AY36" s="162">
        <v>0</v>
      </c>
      <c r="AZ36" s="162">
        <v>0</v>
      </c>
      <c r="BA36" s="162">
        <v>0</v>
      </c>
      <c r="BB36" s="162">
        <v>-1.25</v>
      </c>
      <c r="BC36" s="162">
        <v>-15.462184873949582</v>
      </c>
      <c r="BD36" s="162">
        <v>4.6764705882352899</v>
      </c>
      <c r="BE36" s="162">
        <v>-6.25</v>
      </c>
      <c r="BF36" s="162">
        <v>-26.067765567765576</v>
      </c>
      <c r="BG36" s="164">
        <v>7</v>
      </c>
      <c r="BH36" s="60">
        <v>90.832731970281131</v>
      </c>
      <c r="BI36" s="24">
        <v>4.4850134137361231</v>
      </c>
      <c r="BJ36" s="24">
        <v>4.6822546159827372</v>
      </c>
      <c r="BK36" s="25">
        <v>9.1672680297188602</v>
      </c>
      <c r="BL36" s="216" t="s">
        <v>868</v>
      </c>
      <c r="BM36" s="163"/>
      <c r="BN36" s="453">
        <v>0.55237051599999998</v>
      </c>
      <c r="BO36" s="454">
        <v>1.9550853450000001</v>
      </c>
      <c r="BP36" s="454">
        <v>4.4602395220000002</v>
      </c>
      <c r="BQ36" s="454">
        <v>2.6538197960000001</v>
      </c>
      <c r="BR36" s="501">
        <v>2.0025714259999998</v>
      </c>
      <c r="BS36" s="496">
        <v>0.55237051599999998</v>
      </c>
      <c r="BT36" s="496">
        <v>1.9550853450000001</v>
      </c>
      <c r="BU36" s="496">
        <v>4.4602395220000002</v>
      </c>
      <c r="BV36" s="496">
        <v>2.6538197960000001</v>
      </c>
      <c r="BW36" s="496">
        <v>2.0025714259999998</v>
      </c>
      <c r="BX36" s="499">
        <v>0.57088796799999997</v>
      </c>
      <c r="BY36" s="496">
        <v>2.155530626</v>
      </c>
      <c r="BZ36" s="496">
        <v>4.7515411370000002</v>
      </c>
      <c r="CA36" s="496">
        <v>3.4999707070000001</v>
      </c>
      <c r="CB36" s="497">
        <v>2.3662232209999998</v>
      </c>
      <c r="CC36" s="496">
        <v>1.397484795</v>
      </c>
      <c r="CD36" s="496">
        <v>3.2415579430000001</v>
      </c>
      <c r="CE36" s="496">
        <v>4.4577356210000003</v>
      </c>
      <c r="CF36" s="496">
        <v>3.8135519009999999</v>
      </c>
      <c r="CG36" s="496">
        <v>2.0901751719999999</v>
      </c>
      <c r="CH36" s="26"/>
      <c r="CI36" s="77"/>
      <c r="CJ36" s="68"/>
    </row>
    <row r="37" spans="1:130" ht="14.4" customHeight="1" x14ac:dyDescent="0.3">
      <c r="A37" s="146" t="s">
        <v>756</v>
      </c>
      <c r="B37" s="146" t="s">
        <v>766</v>
      </c>
      <c r="C37" s="146" t="s">
        <v>791</v>
      </c>
      <c r="D37" s="146" t="s">
        <v>792</v>
      </c>
      <c r="E37" s="255" t="s">
        <v>186</v>
      </c>
      <c r="F37" s="130" t="s">
        <v>967</v>
      </c>
      <c r="G37" s="255" t="s">
        <v>211</v>
      </c>
      <c r="H37" s="196"/>
      <c r="I37" s="257"/>
      <c r="J37" s="154" t="s">
        <v>188</v>
      </c>
      <c r="K37" s="268"/>
      <c r="L37" s="256"/>
      <c r="M37" s="256"/>
      <c r="N37" s="256"/>
      <c r="O37" s="256"/>
      <c r="P37" s="418">
        <v>257</v>
      </c>
      <c r="Q37" s="418">
        <v>8</v>
      </c>
      <c r="R37" s="256"/>
      <c r="S37" s="415">
        <v>24</v>
      </c>
      <c r="T37" s="124">
        <v>-15.929237654499985</v>
      </c>
      <c r="U37" s="124">
        <v>-34.949868658115946</v>
      </c>
      <c r="V37" s="124">
        <v>-3.2562576896478106</v>
      </c>
      <c r="W37" s="49">
        <v>-14.188991198642853</v>
      </c>
      <c r="X37" s="49">
        <v>-40.034580214194079</v>
      </c>
      <c r="Y37" s="54">
        <v>-1.8100581567520635</v>
      </c>
      <c r="Z37" s="146">
        <v>-5.9797821869999979</v>
      </c>
      <c r="AA37" s="124">
        <v>-31.477627066210403</v>
      </c>
      <c r="AB37" s="124">
        <v>3.5776525223890303</v>
      </c>
      <c r="AC37" s="164">
        <v>0</v>
      </c>
      <c r="AD37" s="164">
        <v>0</v>
      </c>
      <c r="AE37" s="164">
        <v>0</v>
      </c>
      <c r="AF37" s="164">
        <v>0</v>
      </c>
      <c r="AG37" s="164">
        <v>-8.6685340802987838</v>
      </c>
      <c r="AH37" s="164">
        <v>3.8580765639589174</v>
      </c>
      <c r="AI37" s="164">
        <v>-1.4285714285714306</v>
      </c>
      <c r="AJ37" s="164">
        <v>-15.422107304460255</v>
      </c>
      <c r="AK37" s="164">
        <v>5.9327731092436977</v>
      </c>
      <c r="AL37" s="726">
        <v>4.5919759500000055</v>
      </c>
      <c r="AM37" s="726">
        <v>52.818455720000003</v>
      </c>
      <c r="AN37" s="726">
        <v>42.589568329999999</v>
      </c>
      <c r="AO37" s="727">
        <f>AM37+AN37</f>
        <v>95.408024049999995</v>
      </c>
      <c r="AP37">
        <v>-13.841147491499996</v>
      </c>
      <c r="AQ37">
        <v>-30.077058381161777</v>
      </c>
      <c r="AR37">
        <v>-3.0092502560156191</v>
      </c>
      <c r="AS37">
        <v>-12.548348927714272</v>
      </c>
      <c r="AT37">
        <v>-35.904486946090358</v>
      </c>
      <c r="AU37">
        <v>-0.94061298674847649</v>
      </c>
      <c r="AV37">
        <v>-5.3831849975714192</v>
      </c>
      <c r="AW37">
        <v>-29.218296412790721</v>
      </c>
      <c r="AX37">
        <v>3.5440883064528634</v>
      </c>
      <c r="AY37" s="164">
        <v>0</v>
      </c>
      <c r="AZ37" s="164">
        <v>0</v>
      </c>
      <c r="BA37" s="164">
        <v>0</v>
      </c>
      <c r="BB37" s="164">
        <v>0</v>
      </c>
      <c r="BC37" s="164">
        <v>-8.6685340802987838</v>
      </c>
      <c r="BD37" s="164">
        <v>3.8580765639589174</v>
      </c>
      <c r="BE37" s="164">
        <v>-1.4285714285714306</v>
      </c>
      <c r="BF37" s="164">
        <v>-15.422107304460255</v>
      </c>
      <c r="BG37" s="164">
        <v>5.9327731092436977</v>
      </c>
      <c r="BH37" s="81">
        <v>25.472877580000009</v>
      </c>
      <c r="BI37" s="81">
        <v>31.937554089999999</v>
      </c>
      <c r="BJ37" s="81">
        <v>42.589568329999999</v>
      </c>
      <c r="BK37" s="25">
        <v>74.527122419999998</v>
      </c>
      <c r="BL37" s="215" t="s">
        <v>870</v>
      </c>
      <c r="BN37" s="453">
        <v>0</v>
      </c>
      <c r="BO37" s="728">
        <v>20.88090163</v>
      </c>
      <c r="BP37" s="728">
        <v>31.937554089999999</v>
      </c>
      <c r="BQ37" s="728">
        <v>31.073295959999999</v>
      </c>
      <c r="BR37" s="501">
        <v>11.516272369999999</v>
      </c>
      <c r="BS37" s="729" t="s">
        <v>220</v>
      </c>
      <c r="BT37" s="729" t="s">
        <v>220</v>
      </c>
      <c r="BU37" s="729" t="s">
        <v>220</v>
      </c>
      <c r="BV37" s="729" t="s">
        <v>220</v>
      </c>
      <c r="BW37" s="729" t="s">
        <v>220</v>
      </c>
      <c r="BX37" s="75" t="s">
        <v>220</v>
      </c>
      <c r="BY37" s="729" t="s">
        <v>220</v>
      </c>
      <c r="BZ37" s="729" t="s">
        <v>220</v>
      </c>
      <c r="CA37" s="729" t="s">
        <v>220</v>
      </c>
      <c r="CB37" s="267" t="s">
        <v>220</v>
      </c>
      <c r="CC37" s="729">
        <v>0</v>
      </c>
      <c r="CD37" s="729">
        <v>20.88090163</v>
      </c>
      <c r="CE37" s="729">
        <v>31.937554089999999</v>
      </c>
      <c r="CF37" s="729">
        <v>31.073295959999999</v>
      </c>
      <c r="CG37" s="729">
        <v>11.516272369999999</v>
      </c>
      <c r="CH37" s="26"/>
      <c r="CI37" s="77"/>
      <c r="CJ37" s="68"/>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row>
    <row r="38" spans="1:130" ht="12.6" customHeight="1" x14ac:dyDescent="0.3">
      <c r="A38" s="146" t="s">
        <v>756</v>
      </c>
      <c r="B38" s="147" t="s">
        <v>766</v>
      </c>
      <c r="C38" s="147" t="s">
        <v>773</v>
      </c>
      <c r="D38" s="333" t="s">
        <v>774</v>
      </c>
      <c r="E38" s="255" t="s">
        <v>186</v>
      </c>
      <c r="F38" s="130" t="s">
        <v>967</v>
      </c>
      <c r="G38" s="255" t="s">
        <v>211</v>
      </c>
      <c r="H38" s="196" t="s">
        <v>775</v>
      </c>
      <c r="I38" s="257"/>
      <c r="J38" s="256" t="s">
        <v>188</v>
      </c>
      <c r="K38" s="268"/>
      <c r="L38" s="256"/>
      <c r="M38" s="256"/>
      <c r="N38" s="256"/>
      <c r="O38" s="256"/>
      <c r="P38" s="418">
        <v>25185</v>
      </c>
      <c r="Q38" s="418">
        <v>228</v>
      </c>
      <c r="R38" s="256"/>
      <c r="S38" s="415">
        <v>25</v>
      </c>
      <c r="T38" s="124">
        <v>-13.889500905799864</v>
      </c>
      <c r="U38" s="124">
        <v>-21.433705531452091</v>
      </c>
      <c r="V38" s="124">
        <v>-5.604334457431591</v>
      </c>
      <c r="W38" s="49">
        <v>-12.042849865944888</v>
      </c>
      <c r="X38" s="49">
        <v>-25.513453034059793</v>
      </c>
      <c r="Y38" s="54">
        <v>-3.0186858074024627</v>
      </c>
      <c r="Z38" s="146">
        <v>-7.2021879005245495</v>
      </c>
      <c r="AA38" s="124">
        <v>-22.691919767995458</v>
      </c>
      <c r="AB38" s="124">
        <v>2.7039522434125729</v>
      </c>
      <c r="AC38" s="164">
        <v>0</v>
      </c>
      <c r="AD38" s="164">
        <v>0</v>
      </c>
      <c r="AE38" s="164">
        <v>0</v>
      </c>
      <c r="AF38" s="164">
        <v>0</v>
      </c>
      <c r="AG38" s="164">
        <v>-8.246498599439775</v>
      </c>
      <c r="AH38" s="164">
        <v>2.0168067226890685</v>
      </c>
      <c r="AI38" s="164">
        <v>-2.8571428571428612</v>
      </c>
      <c r="AJ38" s="164">
        <v>-12.7666451195863</v>
      </c>
      <c r="AK38" s="164">
        <v>4.621848739495789</v>
      </c>
      <c r="AL38" s="726">
        <v>56.431907159932805</v>
      </c>
      <c r="AM38" s="726">
        <v>30.004532380280715</v>
      </c>
      <c r="AN38" s="726">
        <v>13.563560459786483</v>
      </c>
      <c r="AO38" s="727">
        <f>AM38+AN38</f>
        <v>43.568092840067195</v>
      </c>
      <c r="AP38">
        <v>-11.698778119749207</v>
      </c>
      <c r="AQ38">
        <v>-17.400409127297834</v>
      </c>
      <c r="AR38">
        <v>-4.9886222439322978</v>
      </c>
      <c r="AS38">
        <v>-10.217247544236002</v>
      </c>
      <c r="AT38">
        <v>-22.47018878048172</v>
      </c>
      <c r="AU38">
        <v>-2.3235948367441353</v>
      </c>
      <c r="AV38">
        <v>-6.9100915290511153</v>
      </c>
      <c r="AW38">
        <v>-21.346577126739845</v>
      </c>
      <c r="AX38">
        <v>2.8341399926892024</v>
      </c>
      <c r="AY38" s="164">
        <v>0</v>
      </c>
      <c r="AZ38" s="164">
        <v>0</v>
      </c>
      <c r="BA38" s="164">
        <v>0</v>
      </c>
      <c r="BB38" s="164">
        <v>0</v>
      </c>
      <c r="BC38" s="164">
        <v>-8.246498599439775</v>
      </c>
      <c r="BD38" s="164">
        <v>2.0168067226890685</v>
      </c>
      <c r="BE38" s="164">
        <v>-2.8571428571428612</v>
      </c>
      <c r="BF38" s="164">
        <v>-12.7666451195863</v>
      </c>
      <c r="BG38" s="164">
        <v>4.621848739495789</v>
      </c>
      <c r="BH38" s="81">
        <v>66.65528016150256</v>
      </c>
      <c r="BI38" s="81">
        <v>19.78115937871096</v>
      </c>
      <c r="BJ38" s="81">
        <v>13.563560459786483</v>
      </c>
      <c r="BK38" s="25">
        <v>33.34471983849744</v>
      </c>
      <c r="BL38" s="215" t="s">
        <v>870</v>
      </c>
      <c r="BN38" s="453">
        <v>0.74864984400000001</v>
      </c>
      <c r="BO38" s="728">
        <v>11.025751059999999</v>
      </c>
      <c r="BP38" s="728">
        <v>14.31787278</v>
      </c>
      <c r="BQ38" s="728">
        <v>8.5736264260000006</v>
      </c>
      <c r="BR38" s="501">
        <v>0.89678413999999995</v>
      </c>
      <c r="BS38" s="729" t="s">
        <v>220</v>
      </c>
      <c r="BT38" s="729" t="s">
        <v>220</v>
      </c>
      <c r="BU38" s="729" t="s">
        <v>220</v>
      </c>
      <c r="BV38" s="729" t="s">
        <v>220</v>
      </c>
      <c r="BW38" s="729" t="s">
        <v>220</v>
      </c>
      <c r="BX38" s="75" t="s">
        <v>220</v>
      </c>
      <c r="BY38" s="729" t="s">
        <v>220</v>
      </c>
      <c r="BZ38" s="729" t="s">
        <v>220</v>
      </c>
      <c r="CA38" s="729" t="s">
        <v>220</v>
      </c>
      <c r="CB38" s="267" t="s">
        <v>220</v>
      </c>
      <c r="CC38" s="729">
        <v>0.74864984400000001</v>
      </c>
      <c r="CD38" s="729">
        <v>11.025751059999999</v>
      </c>
      <c r="CE38" s="729">
        <v>14.31787278</v>
      </c>
      <c r="CF38" s="729">
        <v>8.5736264260000006</v>
      </c>
      <c r="CG38" s="729">
        <v>0.89678413999999995</v>
      </c>
      <c r="CH38" s="26"/>
      <c r="CI38" s="77"/>
      <c r="CJ38" s="68"/>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row>
    <row r="39" spans="1:130" ht="12.6" customHeight="1" x14ac:dyDescent="0.3">
      <c r="A39" s="146" t="s">
        <v>756</v>
      </c>
      <c r="B39" s="311" t="s">
        <v>766</v>
      </c>
      <c r="C39" s="311" t="s">
        <v>767</v>
      </c>
      <c r="D39" s="330" t="s">
        <v>768</v>
      </c>
      <c r="E39" s="255" t="s">
        <v>186</v>
      </c>
      <c r="F39" s="130" t="s">
        <v>967</v>
      </c>
      <c r="G39" s="255" t="s">
        <v>211</v>
      </c>
      <c r="H39" s="196"/>
      <c r="I39" s="199"/>
      <c r="J39" s="256" t="s">
        <v>188</v>
      </c>
      <c r="K39" s="270"/>
      <c r="L39" s="154"/>
      <c r="M39" s="154"/>
      <c r="N39" s="154"/>
      <c r="O39" s="154"/>
      <c r="P39" s="420">
        <v>5911</v>
      </c>
      <c r="Q39" s="420">
        <v>116</v>
      </c>
      <c r="R39" s="154"/>
      <c r="S39" s="415">
        <v>23</v>
      </c>
      <c r="T39" s="124">
        <v>-5.0310989500553518</v>
      </c>
      <c r="U39" s="124">
        <v>-11.178162101205075</v>
      </c>
      <c r="V39" s="124">
        <v>-0.96492547763465097</v>
      </c>
      <c r="W39" s="49">
        <v>-4.3476127988218138</v>
      </c>
      <c r="X39" s="49">
        <v>-17.697873021084263</v>
      </c>
      <c r="Y39" s="54">
        <v>1.2000866954780633</v>
      </c>
      <c r="Z39" s="146">
        <v>-2.6352291362029234</v>
      </c>
      <c r="AA39" s="124">
        <v>-17.992108108440689</v>
      </c>
      <c r="AB39" s="124">
        <v>5.088533506427467</v>
      </c>
      <c r="AC39" s="164">
        <v>0</v>
      </c>
      <c r="AD39" s="164">
        <v>0</v>
      </c>
      <c r="AE39" s="164">
        <v>0</v>
      </c>
      <c r="AF39" s="164">
        <v>0</v>
      </c>
      <c r="AG39" s="164">
        <v>-6.941549953314663</v>
      </c>
      <c r="AH39" s="164">
        <v>3.8580765639589174</v>
      </c>
      <c r="AI39" s="164">
        <v>-1.4285714285714306</v>
      </c>
      <c r="AJ39" s="164">
        <v>-11.993535875888824</v>
      </c>
      <c r="AK39" s="164">
        <v>5.9327731092436977</v>
      </c>
      <c r="AL39" s="726">
        <v>64.923364416423112</v>
      </c>
      <c r="AM39" s="726">
        <v>25.53479000554222</v>
      </c>
      <c r="AN39" s="726">
        <v>9.5418455780346765</v>
      </c>
      <c r="AO39" s="727">
        <f>AM39+AN39</f>
        <v>35.076635583576895</v>
      </c>
      <c r="AP39" s="1">
        <v>-3.7615083264033871</v>
      </c>
      <c r="AQ39" s="1">
        <v>-8.4270632636283977</v>
      </c>
      <c r="AR39" s="1">
        <v>-0.83351423095575683</v>
      </c>
      <c r="AS39" s="1">
        <v>-3.3160704171045978</v>
      </c>
      <c r="AT39" s="1">
        <v>-15.044261062328019</v>
      </c>
      <c r="AU39" s="1">
        <v>1.9271411600270767</v>
      </c>
      <c r="AV39">
        <v>-2.3178314802899536</v>
      </c>
      <c r="AW39">
        <v>-16.552821556407579</v>
      </c>
      <c r="AX39">
        <v>5.2596040723616824</v>
      </c>
      <c r="AY39" s="164">
        <v>0</v>
      </c>
      <c r="AZ39" s="164">
        <v>0</v>
      </c>
      <c r="BA39" s="164">
        <v>0</v>
      </c>
      <c r="BB39" s="164">
        <v>0</v>
      </c>
      <c r="BC39" s="164">
        <v>-6.941549953314663</v>
      </c>
      <c r="BD39" s="164">
        <v>3.8580765639589174</v>
      </c>
      <c r="BE39" s="164">
        <v>-1.4285714285714306</v>
      </c>
      <c r="BF39" s="164">
        <v>-11.993535875888824</v>
      </c>
      <c r="BG39" s="164">
        <v>5.9327731092436977</v>
      </c>
      <c r="BH39" s="81">
        <v>76.032282373377925</v>
      </c>
      <c r="BI39" s="81">
        <v>14.42587204858739</v>
      </c>
      <c r="BJ39" s="81">
        <v>9.5418455780346765</v>
      </c>
      <c r="BK39" s="25">
        <v>23.967717626622068</v>
      </c>
      <c r="BL39" s="215" t="s">
        <v>870</v>
      </c>
      <c r="BN39" s="453">
        <v>0.68829574699999996</v>
      </c>
      <c r="BO39" s="728">
        <v>10.15300596</v>
      </c>
      <c r="BP39" s="728">
        <v>19.645006500000001</v>
      </c>
      <c r="BQ39" s="728">
        <v>11.891874870000001</v>
      </c>
      <c r="BR39" s="501">
        <v>1.57832818</v>
      </c>
      <c r="BS39" s="729" t="s">
        <v>220</v>
      </c>
      <c r="BT39" s="729" t="s">
        <v>220</v>
      </c>
      <c r="BU39" s="729" t="s">
        <v>220</v>
      </c>
      <c r="BV39" s="729" t="s">
        <v>220</v>
      </c>
      <c r="BW39" s="729" t="s">
        <v>220</v>
      </c>
      <c r="BX39" s="75" t="s">
        <v>220</v>
      </c>
      <c r="BY39" s="729" t="s">
        <v>220</v>
      </c>
      <c r="BZ39" s="729" t="s">
        <v>220</v>
      </c>
      <c r="CA39" s="729" t="s">
        <v>220</v>
      </c>
      <c r="CB39" s="267" t="s">
        <v>220</v>
      </c>
      <c r="CC39" s="729">
        <v>0.68829574699999996</v>
      </c>
      <c r="CD39" s="729">
        <v>10.15300596</v>
      </c>
      <c r="CE39" s="729">
        <v>19.645006500000001</v>
      </c>
      <c r="CF39" s="729">
        <v>11.891874870000001</v>
      </c>
      <c r="CG39" s="729">
        <v>1.57832818</v>
      </c>
      <c r="CH39" s="26"/>
      <c r="CI39" s="77"/>
      <c r="CJ39" s="68"/>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row>
    <row r="40" spans="1:130" ht="12.6" customHeight="1" x14ac:dyDescent="0.3">
      <c r="A40" s="124" t="s">
        <v>756</v>
      </c>
      <c r="B40" s="124" t="s">
        <v>757</v>
      </c>
      <c r="C40" s="124" t="s">
        <v>855</v>
      </c>
      <c r="D40" s="124" t="s">
        <v>856</v>
      </c>
      <c r="E40" s="258" t="s">
        <v>186</v>
      </c>
      <c r="F40" s="258" t="s">
        <v>836</v>
      </c>
      <c r="G40" s="255" t="s">
        <v>211</v>
      </c>
      <c r="H40" s="196"/>
      <c r="I40" s="199"/>
      <c r="J40" s="154" t="s">
        <v>188</v>
      </c>
      <c r="K40" s="154"/>
      <c r="L40" s="154"/>
      <c r="M40" s="154"/>
      <c r="N40" s="154"/>
      <c r="O40" s="154"/>
      <c r="P40" s="420">
        <v>394323</v>
      </c>
      <c r="Q40" s="420">
        <v>7500</v>
      </c>
      <c r="R40" s="154"/>
      <c r="S40" s="128"/>
      <c r="T40" s="65"/>
      <c r="U40" s="65"/>
      <c r="V40" s="65"/>
      <c r="W40" s="65"/>
      <c r="X40" s="65"/>
      <c r="Y40" s="65"/>
      <c r="Z40" s="65"/>
      <c r="AA40" s="65"/>
      <c r="AB40" s="65"/>
      <c r="AC40" s="65"/>
      <c r="AD40" s="65"/>
      <c r="AE40" s="65"/>
      <c r="AF40" s="65"/>
      <c r="AG40" s="65"/>
      <c r="AH40" s="65"/>
      <c r="AI40" s="65"/>
      <c r="AJ40" s="65"/>
      <c r="AK40" s="65"/>
      <c r="AL40" s="272">
        <v>63.754660062613958</v>
      </c>
      <c r="AM40" s="71">
        <v>20.010620792495111</v>
      </c>
      <c r="AN40" s="71">
        <v>16.234719144890931</v>
      </c>
      <c r="AO40" s="72">
        <v>36.245339937386042</v>
      </c>
      <c r="AP40" s="1"/>
      <c r="AQ40" s="1"/>
      <c r="AR40" s="1"/>
      <c r="AS40" s="1"/>
      <c r="AT40" s="1"/>
      <c r="AU40" s="1"/>
      <c r="AV40" s="1"/>
      <c r="AW40" s="1"/>
      <c r="AX40" s="1"/>
      <c r="AY40" s="1"/>
      <c r="AZ40" s="1"/>
      <c r="BA40" s="1"/>
      <c r="BB40" s="1"/>
      <c r="BC40" s="1"/>
      <c r="BD40" s="1"/>
      <c r="BE40" s="1"/>
      <c r="BF40" s="1"/>
      <c r="BG40" s="162"/>
      <c r="BH40" s="24">
        <v>70.606891064937784</v>
      </c>
      <c r="BI40" s="24">
        <v>13.158389790171288</v>
      </c>
      <c r="BJ40" s="24">
        <v>16.234719144890931</v>
      </c>
      <c r="BK40" s="25">
        <v>29.393108935062219</v>
      </c>
      <c r="BL40" s="215" t="s">
        <v>868</v>
      </c>
      <c r="BN40" s="453">
        <v>0.91293465299999998</v>
      </c>
      <c r="BO40" s="454">
        <v>6.7896746109999997</v>
      </c>
      <c r="BP40" s="454">
        <v>13.03826229</v>
      </c>
      <c r="BQ40" s="454">
        <v>11.01798251</v>
      </c>
      <c r="BR40" s="501">
        <v>5.0685242580000001</v>
      </c>
      <c r="BS40" s="76">
        <v>0.91293465299999998</v>
      </c>
      <c r="BT40" s="76">
        <v>6.7896746109999997</v>
      </c>
      <c r="BU40" s="76">
        <v>13.03826229</v>
      </c>
      <c r="BV40" s="76">
        <v>11.01798251</v>
      </c>
      <c r="BW40" s="76">
        <v>5.0685242580000001</v>
      </c>
      <c r="BX40" s="75">
        <v>0.83481369999999999</v>
      </c>
      <c r="BY40" s="76">
        <v>6.4093193189999997</v>
      </c>
      <c r="BZ40" s="76">
        <v>12.302977589999999</v>
      </c>
      <c r="CA40" s="76">
        <v>10.308954569999999</v>
      </c>
      <c r="CB40" s="267">
        <v>4.6818136959999999</v>
      </c>
      <c r="CC40" s="76">
        <v>0.74202162199999999</v>
      </c>
      <c r="CD40" s="76">
        <v>5.2661671129999998</v>
      </c>
      <c r="CE40" s="76">
        <v>9.881681296</v>
      </c>
      <c r="CF40" s="76">
        <v>7.6424267080000003</v>
      </c>
      <c r="CG40" s="76">
        <v>3.0110744500000002</v>
      </c>
      <c r="CH40" s="26"/>
      <c r="CI40" s="77"/>
      <c r="CJ40" s="68"/>
      <c r="DZ40" s="41"/>
    </row>
    <row r="41" spans="1:130" s="41" customFormat="1" ht="12.6" customHeight="1" x14ac:dyDescent="0.3">
      <c r="A41" s="124" t="s">
        <v>756</v>
      </c>
      <c r="B41" s="124" t="s">
        <v>757</v>
      </c>
      <c r="C41" s="124" t="s">
        <v>857</v>
      </c>
      <c r="D41" s="124" t="s">
        <v>858</v>
      </c>
      <c r="E41" s="258" t="s">
        <v>186</v>
      </c>
      <c r="F41" s="258" t="s">
        <v>836</v>
      </c>
      <c r="G41" s="255" t="s">
        <v>211</v>
      </c>
      <c r="H41" s="196" t="s">
        <v>775</v>
      </c>
      <c r="I41" s="199"/>
      <c r="J41" s="154" t="s">
        <v>188</v>
      </c>
      <c r="K41" s="154"/>
      <c r="L41" s="154"/>
      <c r="M41" s="154"/>
      <c r="N41" s="154"/>
      <c r="O41" s="154"/>
      <c r="P41" s="420">
        <v>82520</v>
      </c>
      <c r="Q41" s="420">
        <v>884</v>
      </c>
      <c r="R41" s="154"/>
      <c r="S41" s="128"/>
      <c r="T41" s="65"/>
      <c r="U41" s="65"/>
      <c r="V41" s="65"/>
      <c r="W41" s="65"/>
      <c r="X41" s="65"/>
      <c r="Y41" s="65"/>
      <c r="Z41" s="65"/>
      <c r="AA41" s="65"/>
      <c r="AB41" s="65"/>
      <c r="AC41" s="65"/>
      <c r="AD41" s="65"/>
      <c r="AE41" s="65"/>
      <c r="AF41" s="65"/>
      <c r="AG41" s="65"/>
      <c r="AH41" s="65"/>
      <c r="AI41" s="65"/>
      <c r="AJ41" s="65"/>
      <c r="AK41" s="65"/>
      <c r="AL41" s="272">
        <v>55.385514280558297</v>
      </c>
      <c r="AM41" s="71">
        <v>30.878045993604182</v>
      </c>
      <c r="AN41" s="71">
        <v>13.736439725837524</v>
      </c>
      <c r="AO41" s="61">
        <v>44.614485719441703</v>
      </c>
      <c r="AP41" s="1"/>
      <c r="AQ41" s="1"/>
      <c r="AR41" s="1"/>
      <c r="AS41" s="1"/>
      <c r="AT41" s="1"/>
      <c r="AU41" s="1"/>
      <c r="AV41" s="1"/>
      <c r="AW41" s="1"/>
      <c r="AX41" s="1"/>
      <c r="AY41" s="1"/>
      <c r="AZ41" s="1"/>
      <c r="BA41" s="1"/>
      <c r="BB41" s="1"/>
      <c r="BC41" s="1"/>
      <c r="BD41" s="1"/>
      <c r="BE41" s="1"/>
      <c r="BF41" s="1"/>
      <c r="BG41" s="162"/>
      <c r="BH41" s="24">
        <v>66.60799234044751</v>
      </c>
      <c r="BI41" s="24">
        <v>19.65556793371497</v>
      </c>
      <c r="BJ41" s="24">
        <v>13.736439725837524</v>
      </c>
      <c r="BK41" s="25">
        <v>33.39200765955249</v>
      </c>
      <c r="BL41" s="215" t="s">
        <v>868</v>
      </c>
      <c r="BM41" s="29"/>
      <c r="BN41" s="453">
        <v>0.588916098</v>
      </c>
      <c r="BO41" s="454">
        <v>11.15638708</v>
      </c>
      <c r="BP41" s="454">
        <v>19.539813129999999</v>
      </c>
      <c r="BQ41" s="454">
        <v>12.13261247</v>
      </c>
      <c r="BR41" s="501">
        <v>1.5229311510000001</v>
      </c>
      <c r="BS41" s="76">
        <v>0.588916098</v>
      </c>
      <c r="BT41" s="76">
        <v>11.15638708</v>
      </c>
      <c r="BU41" s="76">
        <v>19.539813129999999</v>
      </c>
      <c r="BV41" s="76">
        <v>12.13261247</v>
      </c>
      <c r="BW41" s="76">
        <v>1.5229311510000001</v>
      </c>
      <c r="BX41" s="75">
        <v>0.44282505599999999</v>
      </c>
      <c r="BY41" s="76">
        <v>9.2469341919999994</v>
      </c>
      <c r="BZ41" s="76">
        <v>15.20808892</v>
      </c>
      <c r="CA41" s="76">
        <v>9.4011019860000005</v>
      </c>
      <c r="CB41" s="267">
        <v>1.259914368</v>
      </c>
      <c r="CC41" s="76">
        <v>0.43956391500000003</v>
      </c>
      <c r="CD41" s="76">
        <v>7.6788789550000001</v>
      </c>
      <c r="CE41" s="76">
        <v>14.740325650000001</v>
      </c>
      <c r="CF41" s="76">
        <v>9.3009162320000005</v>
      </c>
      <c r="CG41" s="76">
        <v>1.08154196</v>
      </c>
      <c r="CH41" s="26"/>
      <c r="CI41" s="77"/>
      <c r="CJ41" s="68"/>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row>
    <row r="42" spans="1:130" s="41" customFormat="1" ht="12.6" customHeight="1" x14ac:dyDescent="0.3">
      <c r="A42" s="146" t="s">
        <v>756</v>
      </c>
      <c r="B42" s="311" t="s">
        <v>757</v>
      </c>
      <c r="C42" s="311" t="s">
        <v>859</v>
      </c>
      <c r="D42" s="330" t="s">
        <v>860</v>
      </c>
      <c r="E42" s="258" t="s">
        <v>186</v>
      </c>
      <c r="F42" s="258" t="s">
        <v>965</v>
      </c>
      <c r="G42" s="255" t="s">
        <v>211</v>
      </c>
      <c r="H42" s="196"/>
      <c r="I42" s="257"/>
      <c r="J42" s="256" t="s">
        <v>188</v>
      </c>
      <c r="K42" s="256"/>
      <c r="L42" s="256"/>
      <c r="M42" s="256"/>
      <c r="N42" s="256"/>
      <c r="O42" s="256"/>
      <c r="P42" s="418">
        <v>80504</v>
      </c>
      <c r="Q42" s="418">
        <v>256</v>
      </c>
      <c r="R42" s="256"/>
      <c r="S42" s="258"/>
      <c r="T42" s="65"/>
      <c r="U42" s="65"/>
      <c r="V42" s="65"/>
      <c r="W42" s="65"/>
      <c r="X42" s="65"/>
      <c r="Y42" s="65"/>
      <c r="Z42" s="65"/>
      <c r="AA42" s="65"/>
      <c r="AB42" s="65"/>
      <c r="AC42" s="65"/>
      <c r="AD42" s="65"/>
      <c r="AE42" s="65"/>
      <c r="AF42" s="65"/>
      <c r="AG42" s="65"/>
      <c r="AH42" s="65"/>
      <c r="AI42" s="65"/>
      <c r="AJ42" s="65"/>
      <c r="AK42" s="65"/>
      <c r="AL42" s="272">
        <v>68.737138392482109</v>
      </c>
      <c r="AM42" s="71">
        <v>24.668542327450133</v>
      </c>
      <c r="AN42" s="71">
        <v>6.5943192800677632</v>
      </c>
      <c r="AO42" s="61">
        <v>31.262861607517898</v>
      </c>
      <c r="AP42" s="65"/>
      <c r="AQ42" s="65"/>
      <c r="AR42" s="65"/>
      <c r="AS42" s="65"/>
      <c r="AT42" s="65"/>
      <c r="AU42" s="65"/>
      <c r="AV42" s="65"/>
      <c r="AW42" s="65"/>
      <c r="AX42" s="65"/>
      <c r="AY42" s="65"/>
      <c r="AZ42" s="65"/>
      <c r="BA42" s="65"/>
      <c r="BB42" s="65"/>
      <c r="BC42" s="65"/>
      <c r="BD42" s="65"/>
      <c r="BE42" s="65"/>
      <c r="BF42" s="65"/>
      <c r="BG42" s="164"/>
      <c r="BH42" s="60">
        <v>80.450156773422606</v>
      </c>
      <c r="BI42" s="60">
        <v>12.955523946509629</v>
      </c>
      <c r="BJ42" s="60">
        <v>6.5943192800677632</v>
      </c>
      <c r="BK42" s="59">
        <v>19.549843226577394</v>
      </c>
      <c r="BL42" s="215" t="s">
        <v>868</v>
      </c>
      <c r="BM42" s="29"/>
      <c r="BN42" s="453">
        <v>0.187875663</v>
      </c>
      <c r="BO42" s="454">
        <v>11.69101247</v>
      </c>
      <c r="BP42" s="454">
        <v>12.931183669999999</v>
      </c>
      <c r="BQ42" s="454">
        <v>5.6288715759999999</v>
      </c>
      <c r="BR42" s="501">
        <v>0.95305858300000001</v>
      </c>
      <c r="BS42" s="76">
        <v>0.187875663</v>
      </c>
      <c r="BT42" s="76">
        <v>11.69101247</v>
      </c>
      <c r="BU42" s="76">
        <v>12.931183669999999</v>
      </c>
      <c r="BV42" s="76">
        <v>5.6288715759999999</v>
      </c>
      <c r="BW42" s="76">
        <v>0.95305858300000001</v>
      </c>
      <c r="BX42" s="75">
        <v>0.19349733599999999</v>
      </c>
      <c r="BY42" s="76">
        <v>10.78363218</v>
      </c>
      <c r="BZ42" s="76">
        <v>10.39759858</v>
      </c>
      <c r="CA42" s="76">
        <v>4.4562052100000002</v>
      </c>
      <c r="CB42" s="267">
        <v>0.75572883499999999</v>
      </c>
      <c r="CC42" s="76">
        <v>0.430738766</v>
      </c>
      <c r="CD42" s="76">
        <v>7.3032502250000002</v>
      </c>
      <c r="CE42" s="76">
        <v>14.327219919999999</v>
      </c>
      <c r="CF42" s="76">
        <v>9.5996119069999999</v>
      </c>
      <c r="CG42" s="76">
        <v>1.5338650460000001</v>
      </c>
      <c r="CH42" s="26"/>
      <c r="CI42" s="77"/>
      <c r="CJ42" s="68"/>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row>
    <row r="43" spans="1:130" s="41" customFormat="1" ht="12.6" customHeight="1" x14ac:dyDescent="0.3">
      <c r="A43" s="146" t="s">
        <v>756</v>
      </c>
      <c r="B43" s="311" t="s">
        <v>757</v>
      </c>
      <c r="C43" s="311" t="s">
        <v>861</v>
      </c>
      <c r="D43" s="330" t="s">
        <v>862</v>
      </c>
      <c r="E43" s="258" t="s">
        <v>186</v>
      </c>
      <c r="F43" s="258" t="s">
        <v>836</v>
      </c>
      <c r="G43" s="255" t="s">
        <v>211</v>
      </c>
      <c r="H43" s="196"/>
      <c r="I43" s="257"/>
      <c r="J43" s="256" t="s">
        <v>188</v>
      </c>
      <c r="K43" s="256"/>
      <c r="L43" s="256"/>
      <c r="M43" s="256"/>
      <c r="N43" s="256"/>
      <c r="O43" s="256"/>
      <c r="P43" s="418">
        <v>75889</v>
      </c>
      <c r="Q43" s="418">
        <v>1644</v>
      </c>
      <c r="R43" s="256"/>
      <c r="S43" s="258"/>
      <c r="T43" s="65"/>
      <c r="U43" s="65"/>
      <c r="V43" s="65"/>
      <c r="W43" s="65"/>
      <c r="X43" s="65"/>
      <c r="Y43" s="65"/>
      <c r="Z43" s="65"/>
      <c r="AA43" s="65"/>
      <c r="AB43" s="65"/>
      <c r="AC43" s="65"/>
      <c r="AD43" s="65"/>
      <c r="AE43" s="65"/>
      <c r="AF43" s="65"/>
      <c r="AG43" s="65"/>
      <c r="AH43" s="65"/>
      <c r="AI43" s="65"/>
      <c r="AJ43" s="65"/>
      <c r="AK43" s="65"/>
      <c r="AL43" s="272">
        <v>67.216691930018243</v>
      </c>
      <c r="AM43" s="272">
        <v>22.224771956855214</v>
      </c>
      <c r="AN43" s="272">
        <v>10.558536113126539</v>
      </c>
      <c r="AO43" s="61">
        <v>32.783308069981757</v>
      </c>
      <c r="AP43" s="65"/>
      <c r="AQ43" s="65"/>
      <c r="AR43" s="65"/>
      <c r="AS43" s="65"/>
      <c r="AT43" s="65"/>
      <c r="AU43" s="65"/>
      <c r="AV43" s="65"/>
      <c r="AW43" s="65"/>
      <c r="AX43" s="65"/>
      <c r="AY43" s="65"/>
      <c r="AZ43" s="65"/>
      <c r="BA43" s="65"/>
      <c r="BB43" s="65"/>
      <c r="BC43" s="65"/>
      <c r="BD43" s="65"/>
      <c r="BE43" s="65"/>
      <c r="BF43" s="65"/>
      <c r="BG43" s="164"/>
      <c r="BH43" s="413">
        <v>74.797461540874849</v>
      </c>
      <c r="BI43" s="413">
        <v>14.644002345998613</v>
      </c>
      <c r="BJ43" s="413">
        <v>10.558536113126539</v>
      </c>
      <c r="BK43" s="59">
        <v>25.202538459125151</v>
      </c>
      <c r="BL43" s="215" t="s">
        <v>870</v>
      </c>
      <c r="BM43" s="29"/>
      <c r="BN43" s="453">
        <v>0.39285001899999999</v>
      </c>
      <c r="BO43" s="454">
        <v>7.5509885560000001</v>
      </c>
      <c r="BP43" s="454">
        <v>14.586473379999999</v>
      </c>
      <c r="BQ43" s="454">
        <v>9.2660659869999993</v>
      </c>
      <c r="BR43" s="501">
        <v>1.250990915</v>
      </c>
      <c r="BS43" s="76" t="s">
        <v>220</v>
      </c>
      <c r="BT43" s="76" t="s">
        <v>220</v>
      </c>
      <c r="BU43" s="76" t="s">
        <v>220</v>
      </c>
      <c r="BV43" s="76" t="s">
        <v>220</v>
      </c>
      <c r="BW43" s="76" t="s">
        <v>220</v>
      </c>
      <c r="BX43" s="75" t="s">
        <v>220</v>
      </c>
      <c r="BY43" s="76" t="s">
        <v>220</v>
      </c>
      <c r="BZ43" s="76" t="s">
        <v>220</v>
      </c>
      <c r="CA43" s="76" t="s">
        <v>220</v>
      </c>
      <c r="CB43" s="267" t="s">
        <v>220</v>
      </c>
      <c r="CC43" s="76">
        <v>0.39285001899999999</v>
      </c>
      <c r="CD43" s="76">
        <v>7.5509885560000001</v>
      </c>
      <c r="CE43" s="76">
        <v>14.586473379999999</v>
      </c>
      <c r="CF43" s="76">
        <v>9.2660659869999993</v>
      </c>
      <c r="CG43" s="76">
        <v>1.250990915</v>
      </c>
      <c r="CH43" s="26"/>
      <c r="CI43" s="77"/>
      <c r="CJ43" s="68"/>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row>
    <row r="44" spans="1:130" ht="12.6" customHeight="1" x14ac:dyDescent="0.3">
      <c r="A44" s="124" t="s">
        <v>756</v>
      </c>
      <c r="B44" s="262" t="s">
        <v>766</v>
      </c>
      <c r="C44" s="262" t="s">
        <v>863</v>
      </c>
      <c r="D44" s="263" t="s">
        <v>864</v>
      </c>
      <c r="E44" s="258" t="s">
        <v>186</v>
      </c>
      <c r="F44" s="258" t="s">
        <v>949</v>
      </c>
      <c r="G44" s="255" t="s">
        <v>211</v>
      </c>
      <c r="H44" s="196"/>
      <c r="I44" s="257" t="s">
        <v>187</v>
      </c>
      <c r="J44" s="256" t="s">
        <v>188</v>
      </c>
      <c r="K44" s="256"/>
      <c r="L44" s="409" t="s">
        <v>948</v>
      </c>
      <c r="M44" s="256"/>
      <c r="N44" s="256"/>
      <c r="O44" s="256"/>
      <c r="P44" s="418">
        <v>41371</v>
      </c>
      <c r="Q44" s="418">
        <v>292</v>
      </c>
      <c r="R44" s="256"/>
      <c r="S44" s="258"/>
      <c r="T44" s="65"/>
      <c r="U44" s="65"/>
      <c r="V44" s="65"/>
      <c r="W44" s="65"/>
      <c r="X44" s="65"/>
      <c r="Y44" s="65"/>
      <c r="Z44" s="65"/>
      <c r="AA44" s="65"/>
      <c r="AB44" s="65"/>
      <c r="AC44" s="65"/>
      <c r="AD44" s="65"/>
      <c r="AE44" s="65"/>
      <c r="AF44" s="65"/>
      <c r="AG44" s="65"/>
      <c r="AH44" s="65"/>
      <c r="AI44" s="65"/>
      <c r="AJ44" s="65"/>
      <c r="AK44" s="65"/>
      <c r="AL44" s="272">
        <v>95.461172234388044</v>
      </c>
      <c r="AM44" s="272">
        <v>3.27785939285137</v>
      </c>
      <c r="AN44" s="272">
        <v>1.2609683727605898</v>
      </c>
      <c r="AO44" s="72">
        <v>4.53882776561196</v>
      </c>
      <c r="AP44" s="1"/>
      <c r="AQ44" s="1"/>
      <c r="AR44" s="1"/>
      <c r="AS44" s="1"/>
      <c r="AT44" s="1"/>
      <c r="AU44" s="1"/>
      <c r="AV44" s="1"/>
      <c r="AW44" s="1"/>
      <c r="AX44" s="1"/>
      <c r="AY44" s="1"/>
      <c r="AZ44" s="1"/>
      <c r="BA44" s="1"/>
      <c r="BB44" s="1"/>
      <c r="BC44" s="1"/>
      <c r="BD44" s="1"/>
      <c r="BE44" s="1"/>
      <c r="BF44" s="1"/>
      <c r="BG44" s="162"/>
      <c r="BH44" s="276">
        <v>96.468536578286063</v>
      </c>
      <c r="BI44" s="276">
        <v>2.2704950489533493</v>
      </c>
      <c r="BJ44" s="276">
        <v>1.2609683727605898</v>
      </c>
      <c r="BK44" s="25">
        <v>3.5314634217139389</v>
      </c>
      <c r="BL44" s="215" t="s">
        <v>870</v>
      </c>
      <c r="BN44" s="453">
        <v>9.8564626000000002E-2</v>
      </c>
      <c r="BO44" s="454">
        <v>1.006371439</v>
      </c>
      <c r="BP44" s="454">
        <v>2.2682571440000001</v>
      </c>
      <c r="BQ44" s="454">
        <v>1.0625953909999999</v>
      </c>
      <c r="BR44" s="501">
        <v>0.197130113</v>
      </c>
      <c r="BS44" s="76" t="s">
        <v>220</v>
      </c>
      <c r="BT44" s="76" t="s">
        <v>220</v>
      </c>
      <c r="BU44" s="76" t="s">
        <v>220</v>
      </c>
      <c r="BV44" s="76" t="s">
        <v>220</v>
      </c>
      <c r="BW44" s="76" t="s">
        <v>220</v>
      </c>
      <c r="BX44" s="75" t="s">
        <v>220</v>
      </c>
      <c r="BY44" s="76" t="s">
        <v>220</v>
      </c>
      <c r="BZ44" s="76" t="s">
        <v>220</v>
      </c>
      <c r="CA44" s="76" t="s">
        <v>220</v>
      </c>
      <c r="CB44" s="267" t="s">
        <v>220</v>
      </c>
      <c r="CC44" s="76">
        <v>9.8564626000000002E-2</v>
      </c>
      <c r="CD44" s="76">
        <v>1.006371439</v>
      </c>
      <c r="CE44" s="76">
        <v>2.2682571440000001</v>
      </c>
      <c r="CF44" s="76">
        <v>1.0625953909999999</v>
      </c>
      <c r="CG44" s="76">
        <v>0.197130113</v>
      </c>
      <c r="CH44" s="26"/>
      <c r="CI44" s="77"/>
      <c r="CJ44" s="68"/>
    </row>
    <row r="45" spans="1:130" ht="11.4" customHeight="1" x14ac:dyDescent="0.3">
      <c r="A45" s="124" t="s">
        <v>756</v>
      </c>
      <c r="B45" s="260" t="s">
        <v>813</v>
      </c>
      <c r="C45" s="260" t="s">
        <v>825</v>
      </c>
      <c r="D45" s="260" t="s">
        <v>826</v>
      </c>
      <c r="E45" s="130" t="s">
        <v>200</v>
      </c>
      <c r="F45" s="130" t="s">
        <v>944</v>
      </c>
      <c r="G45" s="255" t="s">
        <v>211</v>
      </c>
      <c r="H45" s="196"/>
      <c r="I45" s="127" t="s">
        <v>187</v>
      </c>
      <c r="J45" s="152" t="s">
        <v>201</v>
      </c>
      <c r="K45" s="259"/>
      <c r="L45" s="127"/>
      <c r="M45" s="127" t="s">
        <v>201</v>
      </c>
      <c r="N45" s="127"/>
      <c r="O45" s="127"/>
      <c r="P45" s="127"/>
      <c r="Q45" s="127"/>
      <c r="R45" s="127"/>
      <c r="S45" s="415">
        <v>26</v>
      </c>
      <c r="T45" s="164">
        <v>-1.5445624999999978</v>
      </c>
      <c r="U45" s="164">
        <v>-4.9967307805498677</v>
      </c>
      <c r="V45" s="164">
        <v>-7.4820085251005253E-2</v>
      </c>
      <c r="W45" s="30">
        <v>-5.558250000000001</v>
      </c>
      <c r="X45" s="30">
        <v>-29.69446382612486</v>
      </c>
      <c r="Y45" s="114">
        <v>3.3164306955299594</v>
      </c>
      <c r="Z45" s="164">
        <v>-24.470862499999996</v>
      </c>
      <c r="AA45" s="164">
        <v>-56.510362529970024</v>
      </c>
      <c r="AB45" s="164">
        <v>-11.269279811854801</v>
      </c>
      <c r="AC45" s="164">
        <v>0</v>
      </c>
      <c r="AD45" s="164">
        <v>0</v>
      </c>
      <c r="AE45" s="164">
        <v>0</v>
      </c>
      <c r="AF45" s="164">
        <v>-3.125</v>
      </c>
      <c r="AG45" s="164">
        <v>-25.49183006535948</v>
      </c>
      <c r="AH45" s="164">
        <v>4.2320261437908471</v>
      </c>
      <c r="AI45" s="164">
        <v>-22.875</v>
      </c>
      <c r="AJ45" s="164">
        <v>-53.775974025974023</v>
      </c>
      <c r="AK45" s="164">
        <v>-10.479437229437224</v>
      </c>
      <c r="AL45" s="272">
        <v>86.99</v>
      </c>
      <c r="AM45" s="273">
        <v>2.44</v>
      </c>
      <c r="AN45" s="273">
        <v>10.57</v>
      </c>
      <c r="AO45" s="72">
        <v>13.01</v>
      </c>
      <c r="AP45">
        <v>-1.5445624999999978</v>
      </c>
      <c r="AQ45">
        <v>-4.9967307805498677</v>
      </c>
      <c r="AR45">
        <v>-7.4820085251005253E-2</v>
      </c>
      <c r="AS45">
        <v>-5.558250000000001</v>
      </c>
      <c r="AT45">
        <v>-29.69446382612486</v>
      </c>
      <c r="AU45">
        <v>3.3164306955299594</v>
      </c>
      <c r="AV45">
        <v>-24.470862499999996</v>
      </c>
      <c r="AW45">
        <v>-56.510362529970024</v>
      </c>
      <c r="AX45">
        <v>-11.269279811854801</v>
      </c>
      <c r="AY45" s="162">
        <v>0</v>
      </c>
      <c r="AZ45" s="162">
        <v>0</v>
      </c>
      <c r="BA45" s="162">
        <v>0</v>
      </c>
      <c r="BB45" s="162">
        <v>-3.125</v>
      </c>
      <c r="BC45" s="162">
        <v>-25.49183006535948</v>
      </c>
      <c r="BD45" s="162">
        <v>4.2320261437908471</v>
      </c>
      <c r="BE45" s="162">
        <v>-22.875</v>
      </c>
      <c r="BF45" s="162">
        <v>-53.775974025974023</v>
      </c>
      <c r="BG45" s="164">
        <v>-10.479437229437224</v>
      </c>
      <c r="BH45" s="277">
        <v>86.97</v>
      </c>
      <c r="BI45" s="277">
        <v>2.44</v>
      </c>
      <c r="BJ45" s="277">
        <v>10.57</v>
      </c>
      <c r="BK45" s="25">
        <v>13.01</v>
      </c>
      <c r="BL45" s="215" t="s">
        <v>867</v>
      </c>
      <c r="BN45" s="451">
        <v>86.97</v>
      </c>
      <c r="BO45" s="454" t="s">
        <v>220</v>
      </c>
      <c r="BP45" s="452">
        <v>2.44</v>
      </c>
      <c r="BQ45" s="454" t="s">
        <v>220</v>
      </c>
      <c r="BR45" s="502">
        <v>10.57</v>
      </c>
      <c r="BS45" s="496" t="s">
        <v>220</v>
      </c>
      <c r="BT45" s="496" t="s">
        <v>220</v>
      </c>
      <c r="BU45" s="496" t="s">
        <v>220</v>
      </c>
      <c r="BV45" s="496" t="s">
        <v>220</v>
      </c>
      <c r="BW45" s="496" t="s">
        <v>220</v>
      </c>
      <c r="BX45" s="499" t="s">
        <v>220</v>
      </c>
      <c r="BY45" s="496" t="s">
        <v>220</v>
      </c>
      <c r="BZ45" s="496" t="s">
        <v>220</v>
      </c>
      <c r="CA45" s="496" t="s">
        <v>220</v>
      </c>
      <c r="CB45" s="497" t="s">
        <v>220</v>
      </c>
      <c r="CC45" s="496">
        <v>0.22700927500000001</v>
      </c>
      <c r="CD45" s="496">
        <v>2.0044792810000001</v>
      </c>
      <c r="CE45" s="496">
        <v>4.1673136450000001</v>
      </c>
      <c r="CF45" s="496">
        <v>2.6710676819999999</v>
      </c>
      <c r="CG45" s="496">
        <v>0.48794433500000001</v>
      </c>
      <c r="CH45" s="73">
        <v>86.97</v>
      </c>
      <c r="CI45" s="74">
        <v>2.44</v>
      </c>
      <c r="CJ45" s="107">
        <v>10.57</v>
      </c>
      <c r="CL45" s="498"/>
      <c r="CM45" s="498"/>
      <c r="CN45" s="498"/>
    </row>
    <row r="46" spans="1:130" ht="12.6" customHeight="1" x14ac:dyDescent="0.3">
      <c r="A46" s="124" t="s">
        <v>756</v>
      </c>
      <c r="B46" s="260" t="s">
        <v>813</v>
      </c>
      <c r="C46" s="260" t="s">
        <v>819</v>
      </c>
      <c r="D46" s="260" t="s">
        <v>820</v>
      </c>
      <c r="E46" s="130" t="s">
        <v>186</v>
      </c>
      <c r="F46" s="130" t="s">
        <v>805</v>
      </c>
      <c r="G46" s="255" t="s">
        <v>211</v>
      </c>
      <c r="H46" s="196"/>
      <c r="I46" s="127" t="s">
        <v>227</v>
      </c>
      <c r="J46" s="152" t="s">
        <v>266</v>
      </c>
      <c r="K46" s="259"/>
      <c r="L46" s="127" t="s">
        <v>227</v>
      </c>
      <c r="M46" s="127" t="s">
        <v>227</v>
      </c>
      <c r="N46" s="127" t="s">
        <v>201</v>
      </c>
      <c r="O46" s="127" t="s">
        <v>201</v>
      </c>
      <c r="P46" s="127">
        <v>104</v>
      </c>
      <c r="Q46" s="127">
        <v>70</v>
      </c>
      <c r="R46" s="127" t="s">
        <v>940</v>
      </c>
      <c r="S46" s="415">
        <v>27</v>
      </c>
      <c r="T46" s="164">
        <v>-2.0884999999999962</v>
      </c>
      <c r="U46" s="164">
        <v>-6.6335321067820985</v>
      </c>
      <c r="V46" s="164">
        <v>-0.28261832611831039</v>
      </c>
      <c r="W46" s="30">
        <v>-6.9468750000000057</v>
      </c>
      <c r="X46" s="30">
        <v>-26.777475653105043</v>
      </c>
      <c r="Y46" s="114">
        <v>4.0690297998570202</v>
      </c>
      <c r="Z46" s="164">
        <v>-20.2770625</v>
      </c>
      <c r="AA46" s="164">
        <v>-56.792389635364628</v>
      </c>
      <c r="AB46" s="164">
        <v>1.4660400016650073</v>
      </c>
      <c r="AC46" s="164">
        <v>0</v>
      </c>
      <c r="AD46" s="164">
        <v>0</v>
      </c>
      <c r="AE46" s="164">
        <v>0</v>
      </c>
      <c r="AF46" s="164">
        <v>-4.375</v>
      </c>
      <c r="AG46" s="164">
        <v>-21.473972922502327</v>
      </c>
      <c r="AH46" s="164">
        <v>4.9661531279178348</v>
      </c>
      <c r="AI46" s="164">
        <v>-18.125</v>
      </c>
      <c r="AJ46" s="164">
        <v>-51.913419913419915</v>
      </c>
      <c r="AK46" s="164">
        <v>2.8354978354978329</v>
      </c>
      <c r="AL46" s="272">
        <v>82.03</v>
      </c>
      <c r="AM46" s="273">
        <v>5.81</v>
      </c>
      <c r="AN46" s="273">
        <v>12.16</v>
      </c>
      <c r="AO46" s="72">
        <v>17.97</v>
      </c>
      <c r="AP46">
        <v>-2.0884999999999962</v>
      </c>
      <c r="AQ46">
        <v>-6.6335321067820985</v>
      </c>
      <c r="AR46">
        <v>-0.28261832611831039</v>
      </c>
      <c r="AS46">
        <v>-6.9468750000000057</v>
      </c>
      <c r="AT46">
        <v>-26.777475653105043</v>
      </c>
      <c r="AU46">
        <v>4.0690297998570202</v>
      </c>
      <c r="AV46">
        <v>-20.2770625</v>
      </c>
      <c r="AW46">
        <v>-56.792389635364628</v>
      </c>
      <c r="AX46">
        <v>1.4660400016650073</v>
      </c>
      <c r="AY46" s="162">
        <v>0</v>
      </c>
      <c r="AZ46" s="162">
        <v>0</v>
      </c>
      <c r="BA46" s="162">
        <v>0</v>
      </c>
      <c r="BB46" s="162">
        <v>-4.375</v>
      </c>
      <c r="BC46" s="162">
        <v>-21.473972922502327</v>
      </c>
      <c r="BD46" s="162">
        <v>4.9661531279178348</v>
      </c>
      <c r="BE46" s="162">
        <v>-18.125</v>
      </c>
      <c r="BF46" s="162">
        <v>-51.913419913419915</v>
      </c>
      <c r="BG46" s="164">
        <v>2.8354978354978329</v>
      </c>
      <c r="BH46" s="277">
        <v>81.98</v>
      </c>
      <c r="BI46" s="277">
        <v>5.81</v>
      </c>
      <c r="BJ46" s="277">
        <v>12.16</v>
      </c>
      <c r="BK46" s="25">
        <v>17.97</v>
      </c>
      <c r="BL46" s="215" t="s">
        <v>867</v>
      </c>
      <c r="BN46" s="451">
        <v>81.98</v>
      </c>
      <c r="BO46" s="454" t="s">
        <v>220</v>
      </c>
      <c r="BP46" s="452">
        <v>5.81</v>
      </c>
      <c r="BQ46" s="454" t="s">
        <v>220</v>
      </c>
      <c r="BR46" s="502">
        <v>12.16</v>
      </c>
      <c r="BS46" s="496" t="s">
        <v>220</v>
      </c>
      <c r="BT46" s="496" t="s">
        <v>220</v>
      </c>
      <c r="BU46" s="496" t="s">
        <v>220</v>
      </c>
      <c r="BV46" s="496" t="s">
        <v>220</v>
      </c>
      <c r="BW46" s="496" t="s">
        <v>220</v>
      </c>
      <c r="BX46" s="499" t="s">
        <v>220</v>
      </c>
      <c r="BY46" s="496" t="s">
        <v>220</v>
      </c>
      <c r="BZ46" s="496" t="s">
        <v>220</v>
      </c>
      <c r="CA46" s="496" t="s">
        <v>220</v>
      </c>
      <c r="CB46" s="497" t="s">
        <v>220</v>
      </c>
      <c r="CC46" s="496">
        <v>6.8449240999999994E-2</v>
      </c>
      <c r="CD46" s="496">
        <v>12.24729044</v>
      </c>
      <c r="CE46" s="496">
        <v>3.5248702970000001</v>
      </c>
      <c r="CF46" s="496">
        <v>1.091685518</v>
      </c>
      <c r="CG46" s="496">
        <v>5.1336931000000002E-2</v>
      </c>
      <c r="CH46" s="73">
        <v>81.98</v>
      </c>
      <c r="CI46" s="74">
        <v>5.81</v>
      </c>
      <c r="CJ46" s="107">
        <v>12.16</v>
      </c>
      <c r="CL46" s="498"/>
      <c r="CM46" s="498"/>
      <c r="CN46" s="498"/>
    </row>
    <row r="47" spans="1:130" ht="12.6" customHeight="1" x14ac:dyDescent="0.3">
      <c r="A47" s="124" t="s">
        <v>756</v>
      </c>
      <c r="B47" s="243" t="s">
        <v>813</v>
      </c>
      <c r="C47" s="243" t="s">
        <v>814</v>
      </c>
      <c r="D47" s="124" t="s">
        <v>815</v>
      </c>
      <c r="E47" s="128" t="s">
        <v>200</v>
      </c>
      <c r="F47" s="394" t="s">
        <v>816</v>
      </c>
      <c r="G47" s="255" t="s">
        <v>211</v>
      </c>
      <c r="H47" s="196"/>
      <c r="I47" s="127"/>
      <c r="J47" s="152" t="s">
        <v>266</v>
      </c>
      <c r="K47" s="269"/>
      <c r="L47" s="152"/>
      <c r="M47" s="152"/>
      <c r="N47" s="152"/>
      <c r="O47" s="152"/>
      <c r="P47" s="152"/>
      <c r="Q47" s="152"/>
      <c r="R47" s="152"/>
      <c r="S47" s="415">
        <v>16</v>
      </c>
      <c r="T47" s="164">
        <v>-2.6855625000000032</v>
      </c>
      <c r="U47" s="164">
        <v>-12.29395845200122</v>
      </c>
      <c r="V47" s="164">
        <v>-0.48513624496848706</v>
      </c>
      <c r="W47" s="30">
        <v>-8.4491250000000093</v>
      </c>
      <c r="X47" s="30">
        <v>-30.661782199418241</v>
      </c>
      <c r="Y47" s="114">
        <v>2.6640046007913725</v>
      </c>
      <c r="Z47" s="164">
        <v>-30.57361250000001</v>
      </c>
      <c r="AA47" s="164">
        <v>-54.118392862137867</v>
      </c>
      <c r="AB47" s="164">
        <v>-7.0632085039960089</v>
      </c>
      <c r="AC47" s="164">
        <v>0</v>
      </c>
      <c r="AD47" s="164">
        <v>0</v>
      </c>
      <c r="AE47" s="164">
        <v>0</v>
      </c>
      <c r="AF47" s="164">
        <v>-3.125</v>
      </c>
      <c r="AG47" s="164">
        <v>-15.598972922502341</v>
      </c>
      <c r="AH47" s="164">
        <v>3.9641690009337083</v>
      </c>
      <c r="AI47" s="164">
        <v>-24.125</v>
      </c>
      <c r="AJ47" s="164">
        <v>-44.368506493506494</v>
      </c>
      <c r="AK47" s="164">
        <v>-0.14935064935065157</v>
      </c>
      <c r="AL47" s="272">
        <v>65.569999999999993</v>
      </c>
      <c r="AM47" s="273">
        <v>2.11</v>
      </c>
      <c r="AN47" s="273">
        <v>32.32</v>
      </c>
      <c r="AO47" s="72">
        <v>34.43</v>
      </c>
      <c r="AP47">
        <v>-2.6855625000000032</v>
      </c>
      <c r="AQ47">
        <v>-12.29395845200122</v>
      </c>
      <c r="AR47">
        <v>-0.48513624496848706</v>
      </c>
      <c r="AS47">
        <v>-8.4491250000000093</v>
      </c>
      <c r="AT47">
        <v>-30.661782199418241</v>
      </c>
      <c r="AU47">
        <v>2.6640046007913725</v>
      </c>
      <c r="AV47">
        <v>-30.57361250000001</v>
      </c>
      <c r="AW47">
        <v>-54.118392862137867</v>
      </c>
      <c r="AX47">
        <v>-7.0632085039960089</v>
      </c>
      <c r="AY47" s="162">
        <v>0</v>
      </c>
      <c r="AZ47" s="162">
        <v>0</v>
      </c>
      <c r="BA47" s="162">
        <v>0</v>
      </c>
      <c r="BB47" s="162">
        <v>-3.125</v>
      </c>
      <c r="BC47" s="162">
        <v>-15.598972922502341</v>
      </c>
      <c r="BD47" s="162">
        <v>3.9641690009337083</v>
      </c>
      <c r="BE47" s="162">
        <v>-24.125</v>
      </c>
      <c r="BF47" s="162">
        <v>-44.368506493506494</v>
      </c>
      <c r="BG47" s="164">
        <v>-0.14935064935065157</v>
      </c>
      <c r="BH47" s="277">
        <v>65.55</v>
      </c>
      <c r="BI47" s="277">
        <v>2.11</v>
      </c>
      <c r="BJ47" s="277">
        <v>32.32</v>
      </c>
      <c r="BK47" s="25">
        <v>34.43</v>
      </c>
      <c r="BL47" s="215" t="s">
        <v>867</v>
      </c>
      <c r="BN47" s="451">
        <v>65.55</v>
      </c>
      <c r="BO47" s="454" t="s">
        <v>220</v>
      </c>
      <c r="BP47" s="452">
        <v>2.11</v>
      </c>
      <c r="BQ47" s="454" t="s">
        <v>220</v>
      </c>
      <c r="BR47" s="502">
        <v>32.32</v>
      </c>
      <c r="BS47" s="496" t="s">
        <v>220</v>
      </c>
      <c r="BT47" s="496" t="s">
        <v>220</v>
      </c>
      <c r="BU47" s="496" t="s">
        <v>220</v>
      </c>
      <c r="BV47" s="496" t="s">
        <v>220</v>
      </c>
      <c r="BW47" s="496" t="s">
        <v>220</v>
      </c>
      <c r="BX47" s="499">
        <v>0.28712853799999999</v>
      </c>
      <c r="BY47" s="496">
        <v>3.778470644</v>
      </c>
      <c r="BZ47" s="496">
        <v>14.523771780000001</v>
      </c>
      <c r="CA47" s="496">
        <v>8.6385175010000008</v>
      </c>
      <c r="CB47" s="497">
        <v>1.086860787</v>
      </c>
      <c r="CC47" s="496" t="s">
        <v>220</v>
      </c>
      <c r="CD47" s="496" t="s">
        <v>220</v>
      </c>
      <c r="CE47" s="496" t="s">
        <v>220</v>
      </c>
      <c r="CF47" s="496" t="s">
        <v>220</v>
      </c>
      <c r="CG47" s="496" t="s">
        <v>220</v>
      </c>
      <c r="CH47" s="73">
        <v>65.55</v>
      </c>
      <c r="CI47" s="74">
        <v>2.11</v>
      </c>
      <c r="CJ47" s="107">
        <v>32.32</v>
      </c>
      <c r="CK47" s="498"/>
    </row>
    <row r="48" spans="1:130" ht="14.4" customHeight="1" x14ac:dyDescent="0.3">
      <c r="J48" s="130"/>
      <c r="T48" s="65"/>
      <c r="U48" s="65"/>
      <c r="V48" s="65"/>
      <c r="AL48" s="272"/>
      <c r="AO48" s="72"/>
      <c r="AP48" s="1"/>
      <c r="AQ48" s="1"/>
      <c r="AR48" s="1"/>
      <c r="BH48" s="276"/>
      <c r="BK48" s="25"/>
      <c r="BL48" s="215"/>
    </row>
    <row r="49" spans="38:64" x14ac:dyDescent="0.3">
      <c r="AL49" s="272"/>
      <c r="BH49" s="276"/>
      <c r="BL49" s="215"/>
    </row>
    <row r="50" spans="38:64" x14ac:dyDescent="0.3">
      <c r="BL50" s="215"/>
    </row>
    <row r="51" spans="38:64" x14ac:dyDescent="0.3">
      <c r="BL51" s="215"/>
    </row>
    <row r="52" spans="38:64" x14ac:dyDescent="0.3">
      <c r="BL52" s="215"/>
    </row>
    <row r="53" spans="38:64" x14ac:dyDescent="0.3">
      <c r="BL53" s="215"/>
    </row>
    <row r="54" spans="38:64" x14ac:dyDescent="0.3">
      <c r="BL54" s="215"/>
    </row>
    <row r="55" spans="38:64" x14ac:dyDescent="0.3">
      <c r="BL55" s="215"/>
    </row>
  </sheetData>
  <autoFilter ref="A2:DY47" xr:uid="{69A25249-39D7-4378-B947-75DD1294D1BB}"/>
  <sortState xmlns:xlrd2="http://schemas.microsoft.com/office/spreadsheetml/2017/richdata2" ref="A3:DZ47">
    <sortCondition ref="D3:D47"/>
  </sortState>
  <mergeCells count="10">
    <mergeCell ref="CC1:CG1"/>
    <mergeCell ref="P1:R1"/>
    <mergeCell ref="L1:O1"/>
    <mergeCell ref="BN1:BR1"/>
    <mergeCell ref="BS1:BW1"/>
    <mergeCell ref="BX1:CB1"/>
    <mergeCell ref="AP1:BG1"/>
    <mergeCell ref="BH1:BK1"/>
    <mergeCell ref="AL1:AO1"/>
    <mergeCell ref="T1:AK1"/>
  </mergeCells>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CDF7E-1E2A-4558-B9D1-49E7E055D3CB}">
  <dimension ref="A1:BV26"/>
  <sheetViews>
    <sheetView topLeftCell="L1" zoomScale="80" zoomScaleNormal="80" workbookViewId="0">
      <selection activeCell="AP30" sqref="AP30"/>
    </sheetView>
  </sheetViews>
  <sheetFormatPr defaultRowHeight="14.4" x14ac:dyDescent="0.3"/>
  <cols>
    <col min="1" max="1" width="5.33203125" bestFit="1" customWidth="1"/>
    <col min="2" max="2" width="16.109375" bestFit="1" customWidth="1"/>
    <col min="3" max="3" width="29.88671875" customWidth="1"/>
    <col min="4" max="4" width="34.6640625" bestFit="1" customWidth="1"/>
    <col min="5" max="5" width="13.5546875" style="128" customWidth="1"/>
    <col min="6" max="6" width="34.6640625" style="128" customWidth="1"/>
    <col min="7" max="7" width="13.5546875" style="128" customWidth="1"/>
    <col min="8" max="9" width="7.6640625" style="128" customWidth="1"/>
    <col min="10" max="15" width="6.33203125" style="128" customWidth="1"/>
    <col min="16" max="16" width="10.44140625" style="135" bestFit="1" customWidth="1"/>
    <col min="17" max="17" width="12.109375" style="135" customWidth="1"/>
    <col min="18" max="18" width="12.77734375" style="128" bestFit="1" customWidth="1"/>
    <col min="19" max="19" width="5.6640625" style="392" bestFit="1" customWidth="1"/>
    <col min="20" max="20" width="11.44140625" style="41" customWidth="1"/>
    <col min="21" max="28" width="6.33203125" style="41" bestFit="1" customWidth="1"/>
    <col min="29" max="29" width="7.6640625" style="41" bestFit="1" customWidth="1"/>
    <col min="30" max="30" width="6" style="41" bestFit="1" customWidth="1"/>
    <col min="31" max="31" width="6.109375" style="41" bestFit="1" customWidth="1"/>
    <col min="32" max="32" width="7.33203125" style="41" bestFit="1" customWidth="1"/>
    <col min="33" max="33" width="6.33203125" style="41" bestFit="1" customWidth="1"/>
    <col min="34" max="34" width="6.5546875" style="41" bestFit="1" customWidth="1"/>
    <col min="35" max="35" width="7.33203125" style="41" bestFit="1" customWidth="1"/>
    <col min="36" max="37" width="6.33203125" style="41" bestFit="1" customWidth="1"/>
    <col min="38" max="38" width="10.109375" style="91" bestFit="1" customWidth="1"/>
    <col min="39" max="40" width="9.5546875" style="93" bestFit="1" customWidth="1"/>
    <col min="41" max="41" width="10.33203125" style="92" bestFit="1" customWidth="1"/>
    <col min="42" max="42" width="31" customWidth="1"/>
    <col min="43" max="43" width="10.33203125" customWidth="1"/>
  </cols>
  <sheetData>
    <row r="1" spans="1:42" ht="74.400000000000006" customHeight="1" thickBot="1" x14ac:dyDescent="0.35">
      <c r="E1" s="480"/>
      <c r="F1" s="480"/>
      <c r="G1" s="504"/>
      <c r="H1" s="504"/>
      <c r="I1" s="504"/>
      <c r="J1" s="504"/>
      <c r="K1" s="504"/>
      <c r="L1" s="716" t="s">
        <v>1113</v>
      </c>
      <c r="M1" s="717"/>
      <c r="N1" s="717"/>
      <c r="O1" s="718"/>
      <c r="P1" s="391"/>
      <c r="Q1" s="391"/>
      <c r="R1" s="391"/>
      <c r="T1" s="708" t="s">
        <v>158</v>
      </c>
      <c r="U1" s="708"/>
      <c r="V1" s="708"/>
      <c r="W1" s="708"/>
      <c r="X1" s="708"/>
      <c r="Y1" s="708"/>
      <c r="Z1" s="708"/>
      <c r="AA1" s="708"/>
      <c r="AB1" s="708"/>
      <c r="AC1" s="708"/>
      <c r="AD1" s="708"/>
      <c r="AE1" s="708"/>
      <c r="AF1" s="708"/>
      <c r="AG1" s="708"/>
      <c r="AH1" s="708"/>
      <c r="AI1" s="708"/>
      <c r="AJ1" s="708"/>
      <c r="AK1" s="709"/>
      <c r="AL1" s="713" t="s">
        <v>1272</v>
      </c>
      <c r="AM1" s="714"/>
      <c r="AN1" s="714"/>
      <c r="AO1" s="715"/>
    </row>
    <row r="2" spans="1:42" s="38" customFormat="1" ht="67.2" customHeight="1" thickBot="1" x14ac:dyDescent="0.35">
      <c r="A2" s="471" t="s">
        <v>0</v>
      </c>
      <c r="B2" s="472" t="s">
        <v>1</v>
      </c>
      <c r="C2" s="472" t="s">
        <v>2</v>
      </c>
      <c r="D2" s="472" t="s">
        <v>3</v>
      </c>
      <c r="E2" s="171" t="s">
        <v>357</v>
      </c>
      <c r="F2" s="171" t="s">
        <v>713</v>
      </c>
      <c r="G2" s="172" t="s">
        <v>352</v>
      </c>
      <c r="H2" s="172" t="s">
        <v>349</v>
      </c>
      <c r="I2" s="172" t="s">
        <v>890</v>
      </c>
      <c r="J2" s="172" t="s">
        <v>350</v>
      </c>
      <c r="K2" s="172" t="s">
        <v>1112</v>
      </c>
      <c r="L2" s="301" t="s">
        <v>895</v>
      </c>
      <c r="M2" s="301" t="s">
        <v>896</v>
      </c>
      <c r="N2" s="301" t="s">
        <v>897</v>
      </c>
      <c r="O2" s="301" t="s">
        <v>898</v>
      </c>
      <c r="P2" s="301" t="s">
        <v>907</v>
      </c>
      <c r="Q2" s="301" t="s">
        <v>908</v>
      </c>
      <c r="R2" s="301" t="s">
        <v>909</v>
      </c>
      <c r="S2" s="508" t="s">
        <v>894</v>
      </c>
      <c r="T2" s="2" t="s">
        <v>712</v>
      </c>
      <c r="U2" s="2" t="s">
        <v>5</v>
      </c>
      <c r="V2" s="2" t="s">
        <v>6</v>
      </c>
      <c r="W2" s="3" t="s">
        <v>711</v>
      </c>
      <c r="X2" s="3" t="s">
        <v>5</v>
      </c>
      <c r="Y2" s="3" t="s">
        <v>6</v>
      </c>
      <c r="Z2" s="4" t="s">
        <v>710</v>
      </c>
      <c r="AA2" s="4" t="s">
        <v>5</v>
      </c>
      <c r="AB2" s="4" t="s">
        <v>6</v>
      </c>
      <c r="AC2" s="5" t="s">
        <v>9</v>
      </c>
      <c r="AD2" s="5" t="s">
        <v>5</v>
      </c>
      <c r="AE2" s="5" t="s">
        <v>6</v>
      </c>
      <c r="AF2" s="6" t="s">
        <v>731</v>
      </c>
      <c r="AG2" s="6" t="s">
        <v>5</v>
      </c>
      <c r="AH2" s="6" t="s">
        <v>11</v>
      </c>
      <c r="AI2" s="6" t="s">
        <v>732</v>
      </c>
      <c r="AJ2" s="6" t="s">
        <v>5</v>
      </c>
      <c r="AK2" s="6" t="s">
        <v>6</v>
      </c>
      <c r="AL2" s="39" t="s">
        <v>13</v>
      </c>
      <c r="AM2" s="40" t="s">
        <v>14</v>
      </c>
      <c r="AN2" s="40" t="s">
        <v>15</v>
      </c>
      <c r="AO2" s="90" t="s">
        <v>16</v>
      </c>
    </row>
    <row r="3" spans="1:42" x14ac:dyDescent="0.3">
      <c r="A3" t="s">
        <v>17</v>
      </c>
      <c r="B3" t="s">
        <v>18</v>
      </c>
      <c r="C3" s="7" t="s">
        <v>64</v>
      </c>
      <c r="D3" s="510" t="s">
        <v>65</v>
      </c>
      <c r="E3" s="505" t="s">
        <v>704</v>
      </c>
      <c r="F3" s="505" t="s">
        <v>918</v>
      </c>
      <c r="G3" s="289" t="s">
        <v>185</v>
      </c>
      <c r="H3" s="289"/>
      <c r="I3" s="289" t="s">
        <v>892</v>
      </c>
      <c r="J3" s="289" t="s">
        <v>267</v>
      </c>
      <c r="K3" s="505"/>
      <c r="L3" s="506"/>
      <c r="M3" s="506" t="s">
        <v>267</v>
      </c>
      <c r="N3" s="505"/>
      <c r="O3" s="505"/>
      <c r="P3" s="578">
        <v>40787</v>
      </c>
      <c r="Q3" s="579" t="s">
        <v>917</v>
      </c>
      <c r="R3" s="506"/>
      <c r="S3" s="507"/>
      <c r="T3" s="95"/>
      <c r="U3" s="95"/>
      <c r="V3" s="95"/>
      <c r="W3" s="95"/>
      <c r="X3" s="95"/>
      <c r="Y3" s="95"/>
      <c r="Z3" s="95"/>
      <c r="AA3" s="95"/>
      <c r="AB3" s="95"/>
      <c r="AC3" s="95"/>
      <c r="AD3" s="95"/>
      <c r="AE3" s="95"/>
      <c r="AF3" s="95"/>
      <c r="AG3" s="95"/>
      <c r="AH3" s="95"/>
      <c r="AI3" s="95"/>
      <c r="AJ3" s="95"/>
      <c r="AK3" s="95"/>
      <c r="AL3" s="91">
        <v>75.843401570286431</v>
      </c>
      <c r="AM3" s="77">
        <v>4.9783995984655602</v>
      </c>
      <c r="AN3" s="77">
        <v>19.178198831248</v>
      </c>
      <c r="AO3" s="92">
        <v>24.156598429713561</v>
      </c>
    </row>
    <row r="4" spans="1:42" x14ac:dyDescent="0.3">
      <c r="A4" t="s">
        <v>17</v>
      </c>
      <c r="B4" t="s">
        <v>18</v>
      </c>
      <c r="C4" t="s">
        <v>58</v>
      </c>
      <c r="D4" s="510" t="s">
        <v>59</v>
      </c>
      <c r="E4" s="133" t="s">
        <v>704</v>
      </c>
      <c r="F4" s="133" t="s">
        <v>716</v>
      </c>
      <c r="G4" s="128" t="s">
        <v>353</v>
      </c>
      <c r="I4" s="128" t="s">
        <v>892</v>
      </c>
      <c r="J4" s="133" t="s">
        <v>346</v>
      </c>
      <c r="K4" s="133"/>
      <c r="L4" s="397"/>
      <c r="M4" s="397"/>
      <c r="N4" s="133"/>
      <c r="O4" s="133"/>
      <c r="P4" s="402"/>
      <c r="Q4" s="402"/>
      <c r="R4" s="397"/>
      <c r="T4" s="95"/>
      <c r="U4" s="95"/>
      <c r="V4" s="95"/>
      <c r="W4" s="95"/>
      <c r="X4" s="95"/>
      <c r="Y4" s="95"/>
      <c r="Z4" s="95"/>
      <c r="AA4" s="95"/>
      <c r="AB4" s="95"/>
      <c r="AC4" s="95"/>
      <c r="AD4" s="95"/>
      <c r="AE4" s="95"/>
      <c r="AF4" s="95"/>
      <c r="AG4" s="95"/>
      <c r="AH4" s="95"/>
      <c r="AI4" s="95"/>
      <c r="AJ4" s="95"/>
      <c r="AK4" s="95"/>
      <c r="AL4" s="73">
        <v>67.424099999999996</v>
      </c>
      <c r="AM4" s="74">
        <v>7.2197149999999999</v>
      </c>
      <c r="AN4" s="74">
        <v>25.355779999999999</v>
      </c>
      <c r="AO4" s="92">
        <v>32.575494999999997</v>
      </c>
      <c r="AP4" s="7"/>
    </row>
    <row r="5" spans="1:42" x14ac:dyDescent="0.3">
      <c r="A5" t="s">
        <v>17</v>
      </c>
      <c r="B5" t="s">
        <v>18</v>
      </c>
      <c r="C5" s="7" t="s">
        <v>51</v>
      </c>
      <c r="D5" s="510" t="s">
        <v>52</v>
      </c>
      <c r="E5" s="133" t="s">
        <v>200</v>
      </c>
      <c r="F5" s="133" t="s">
        <v>919</v>
      </c>
      <c r="G5" s="128" t="s">
        <v>353</v>
      </c>
      <c r="I5" s="128" t="s">
        <v>892</v>
      </c>
      <c r="J5" s="128" t="s">
        <v>201</v>
      </c>
      <c r="K5" s="133"/>
      <c r="L5" s="397"/>
      <c r="M5" s="397" t="s">
        <v>201</v>
      </c>
      <c r="N5" s="133"/>
      <c r="O5" s="133"/>
      <c r="P5" s="402">
        <v>2483</v>
      </c>
      <c r="Q5" s="402">
        <v>28</v>
      </c>
      <c r="R5" s="397"/>
      <c r="S5" s="392">
        <v>1</v>
      </c>
      <c r="T5" s="94">
        <v>-3.8738616283808369E-2</v>
      </c>
      <c r="U5" s="94">
        <v>-8.6213917853854127E-2</v>
      </c>
      <c r="V5" s="94">
        <v>-5.7134334863064851E-3</v>
      </c>
      <c r="W5" s="94">
        <v>-7.1896663042000739</v>
      </c>
      <c r="X5" s="94">
        <v>-18.006042727906262</v>
      </c>
      <c r="Y5" s="94">
        <v>3.9368941360242218</v>
      </c>
      <c r="Z5" s="94">
        <v>-23.59564020660595</v>
      </c>
      <c r="AA5" s="94">
        <v>-43.262907208554211</v>
      </c>
      <c r="AB5" s="94">
        <v>12.087490641673739</v>
      </c>
      <c r="AC5" s="94">
        <v>0</v>
      </c>
      <c r="AD5" s="94">
        <v>0</v>
      </c>
      <c r="AE5" s="94">
        <v>0</v>
      </c>
      <c r="AF5" s="94">
        <v>-7.1428571428571388</v>
      </c>
      <c r="AG5" s="94">
        <v>-17.936507936507937</v>
      </c>
      <c r="AH5" s="94">
        <v>3.9682539682539755</v>
      </c>
      <c r="AI5" s="94">
        <v>-23.571428571428569</v>
      </c>
      <c r="AJ5" s="94">
        <v>-43.208616780045347</v>
      </c>
      <c r="AK5" s="94">
        <v>12.142857142857139</v>
      </c>
      <c r="AL5" s="91">
        <v>99.774024738344437</v>
      </c>
      <c r="AM5" s="77">
        <v>0.225975261655566</v>
      </c>
      <c r="AN5" s="77">
        <v>0</v>
      </c>
      <c r="AO5" s="92">
        <v>0.225975261655566</v>
      </c>
    </row>
    <row r="6" spans="1:42" x14ac:dyDescent="0.3">
      <c r="A6" t="s">
        <v>17</v>
      </c>
      <c r="B6" t="s">
        <v>21</v>
      </c>
      <c r="C6" s="7" t="s">
        <v>26</v>
      </c>
      <c r="D6" s="510" t="s">
        <v>27</v>
      </c>
      <c r="E6" s="128" t="s">
        <v>200</v>
      </c>
      <c r="F6" s="128" t="s">
        <v>922</v>
      </c>
      <c r="G6" s="128" t="s">
        <v>185</v>
      </c>
      <c r="I6" s="128" t="s">
        <v>891</v>
      </c>
      <c r="J6" s="128" t="s">
        <v>227</v>
      </c>
      <c r="K6" s="133" t="s">
        <v>227</v>
      </c>
      <c r="L6" s="397" t="s">
        <v>227</v>
      </c>
      <c r="M6" s="397" t="s">
        <v>227</v>
      </c>
      <c r="N6" s="133"/>
      <c r="O6" s="133"/>
      <c r="P6" s="402">
        <v>38</v>
      </c>
      <c r="Q6" s="402">
        <v>12</v>
      </c>
      <c r="R6" s="403"/>
      <c r="S6" s="392">
        <v>2</v>
      </c>
      <c r="T6" s="94">
        <v>-35.149277688603505</v>
      </c>
      <c r="U6" s="94">
        <v>-62.923896150220365</v>
      </c>
      <c r="V6" s="94">
        <v>-19.035083696399866</v>
      </c>
      <c r="W6" s="94">
        <v>-49.178170144462257</v>
      </c>
      <c r="X6" s="94">
        <v>-84.334969043797287</v>
      </c>
      <c r="Y6" s="94">
        <v>-29.740380646640645</v>
      </c>
      <c r="Z6" s="94">
        <v>-56.577849117174942</v>
      </c>
      <c r="AA6" s="94">
        <v>-94.747443246961694</v>
      </c>
      <c r="AB6" s="94">
        <v>-37.607796376977738</v>
      </c>
      <c r="AC6" s="94">
        <v>0</v>
      </c>
      <c r="AD6" s="94">
        <v>0</v>
      </c>
      <c r="AE6" s="94">
        <v>0</v>
      </c>
      <c r="AF6" s="94">
        <v>-12.142857142857139</v>
      </c>
      <c r="AG6" s="94">
        <v>-26.1111111111111</v>
      </c>
      <c r="AH6" s="94">
        <v>-0.87301587301587347</v>
      </c>
      <c r="AI6" s="94">
        <v>-30</v>
      </c>
      <c r="AJ6" s="94">
        <v>-57.714285714285715</v>
      </c>
      <c r="AK6" s="94">
        <v>-9.5714285714285694</v>
      </c>
      <c r="AL6" s="91">
        <v>0</v>
      </c>
      <c r="AM6" s="77">
        <v>3.5955056179775302</v>
      </c>
      <c r="AN6" s="77">
        <v>96.404494382022506</v>
      </c>
      <c r="AO6" s="92">
        <v>100.00000000000004</v>
      </c>
    </row>
    <row r="7" spans="1:42" x14ac:dyDescent="0.3">
      <c r="A7" t="s">
        <v>17</v>
      </c>
      <c r="B7" t="s">
        <v>21</v>
      </c>
      <c r="C7" s="7" t="s">
        <v>47</v>
      </c>
      <c r="D7" s="510" t="s">
        <v>48</v>
      </c>
      <c r="E7" s="133" t="s">
        <v>200</v>
      </c>
      <c r="F7" s="128" t="s">
        <v>922</v>
      </c>
      <c r="G7" s="128" t="s">
        <v>185</v>
      </c>
      <c r="I7" s="128" t="s">
        <v>891</v>
      </c>
      <c r="J7" s="128" t="s">
        <v>227</v>
      </c>
      <c r="K7" s="133" t="s">
        <v>227</v>
      </c>
      <c r="L7" s="397" t="s">
        <v>227</v>
      </c>
      <c r="M7" s="397" t="s">
        <v>227</v>
      </c>
      <c r="N7" s="133"/>
      <c r="O7" s="133"/>
      <c r="P7" s="402">
        <v>22</v>
      </c>
      <c r="Q7" s="402">
        <v>16</v>
      </c>
      <c r="R7" s="397" t="s">
        <v>920</v>
      </c>
      <c r="S7" s="392">
        <v>3</v>
      </c>
      <c r="T7" s="432">
        <f>VLOOKUP($C7,[1]FireNoFire!$A$3:$I$18,3,FALSE)</f>
        <v>-18.571428571428569</v>
      </c>
      <c r="U7" s="432">
        <f>VLOOKUP($C7,[1]FireNoFire!$A$3:$I$18,4,FALSE)</f>
        <v>-31.902494331065753</v>
      </c>
      <c r="V7" s="432">
        <f>VLOOKUP($C7,[1]FireNoFire!$A$3:$I$18,5,FALSE)</f>
        <v>-10.160997732426296</v>
      </c>
      <c r="W7" s="432">
        <f>VLOOKUP($C7,[1]FireNoFire!$A$19:$I$34,3,FALSE)</f>
        <v>-30.357142857142861</v>
      </c>
      <c r="X7" s="432">
        <f>VLOOKUP($C7,[1]FireNoFire!$A$19:$I$34,4,FALSE)</f>
        <v>-55.320861678004533</v>
      </c>
      <c r="Y7" s="432">
        <f>VLOOKUP($C7,[1]FireNoFire!$A$19:$I$34,5,FALSE)</f>
        <v>-14.98526077097506</v>
      </c>
      <c r="Z7" s="432">
        <f>VLOOKUP($C7,[1]FireNoFire!$A$35:$I$50,3,FALSE)</f>
        <v>-41.071428571428569</v>
      </c>
      <c r="AA7" s="432">
        <f>VLOOKUP($C7,[1]FireNoFire!$A$35:$I$50,4,FALSE)</f>
        <v>-75.65306122448979</v>
      </c>
      <c r="AB7" s="432">
        <f>VLOOKUP($C7,[1]FireNoFire!$A$35:$I$50,5,FALSE)</f>
        <v>-20.867346938775512</v>
      </c>
      <c r="AC7" s="432">
        <f>VLOOKUP($C7,[1]FireNoFire!$A$3:$I$18,7,FALSE)</f>
        <v>0</v>
      </c>
      <c r="AD7" s="432">
        <f>VLOOKUP($C7,[1]FireNoFire!$A$3:$I$18,8,FALSE)</f>
        <v>0</v>
      </c>
      <c r="AE7" s="432">
        <f>VLOOKUP($C7,[1]FireNoFire!$A$3:$I$18,9,FALSE)</f>
        <v>0</v>
      </c>
      <c r="AF7" s="432">
        <f>VLOOKUP($C7,[1]FireNoFire!$A$19:$I$34,7,FALSE)</f>
        <v>-8.5714285714285694</v>
      </c>
      <c r="AG7" s="432">
        <f>VLOOKUP($C7,[1]FireNoFire!$A$19:$I$34,8,FALSE)</f>
        <v>-28.253968253968253</v>
      </c>
      <c r="AH7" s="432">
        <f>VLOOKUP($C7,[1]FireNoFire!$A$19:$I$34,9,FALSE)</f>
        <v>1.1111111111111143</v>
      </c>
      <c r="AI7" s="432">
        <f>VLOOKUP($C7,[1]FireNoFire!$A$35:$I$50,7,FALSE)</f>
        <v>-25</v>
      </c>
      <c r="AJ7" s="432">
        <f>VLOOKUP($C7,[1]FireNoFire!$A$35:$I$50,8,FALSE)</f>
        <v>-60.285714285714285</v>
      </c>
      <c r="AK7" s="94">
        <f>VLOOKUP($C7,[1]FireNoFire!$A$35:$I$50,9,FALSE)</f>
        <v>-5.2857142857142776</v>
      </c>
      <c r="AL7" s="91">
        <f>100-AO7</f>
        <v>50</v>
      </c>
      <c r="AM7" s="77">
        <v>0</v>
      </c>
      <c r="AN7" s="77">
        <v>50</v>
      </c>
      <c r="AO7" s="92">
        <v>50</v>
      </c>
    </row>
    <row r="8" spans="1:42" x14ac:dyDescent="0.3">
      <c r="A8" t="s">
        <v>17</v>
      </c>
      <c r="B8" t="s">
        <v>21</v>
      </c>
      <c r="C8" s="7" t="s">
        <v>60</v>
      </c>
      <c r="D8" s="510" t="s">
        <v>61</v>
      </c>
      <c r="E8" s="133" t="s">
        <v>704</v>
      </c>
      <c r="F8" s="133" t="s">
        <v>923</v>
      </c>
      <c r="G8" s="128" t="s">
        <v>185</v>
      </c>
      <c r="H8" s="128" t="s">
        <v>201</v>
      </c>
      <c r="I8" s="128" t="s">
        <v>892</v>
      </c>
      <c r="J8" s="133" t="s">
        <v>201</v>
      </c>
      <c r="K8" s="133" t="s">
        <v>227</v>
      </c>
      <c r="L8" s="397" t="s">
        <v>201</v>
      </c>
      <c r="M8" s="397" t="s">
        <v>201</v>
      </c>
      <c r="N8" s="133"/>
      <c r="O8" s="133"/>
      <c r="P8" s="402">
        <v>3583</v>
      </c>
      <c r="Q8" s="402" t="s">
        <v>921</v>
      </c>
      <c r="R8" s="397">
        <v>2500</v>
      </c>
      <c r="T8" s="95"/>
      <c r="U8" s="95"/>
      <c r="V8" s="95"/>
      <c r="W8" s="95"/>
      <c r="X8" s="95"/>
      <c r="Y8" s="95"/>
      <c r="Z8" s="95"/>
      <c r="AA8" s="95"/>
      <c r="AB8" s="95"/>
      <c r="AC8" s="95"/>
      <c r="AD8" s="95"/>
      <c r="AE8" s="95"/>
      <c r="AF8" s="95"/>
      <c r="AG8" s="95"/>
      <c r="AH8" s="95"/>
      <c r="AI8" s="95"/>
      <c r="AJ8" s="95"/>
      <c r="AK8" s="95"/>
      <c r="AL8" s="91">
        <v>93.842364532019701</v>
      </c>
      <c r="AM8" s="77">
        <v>0</v>
      </c>
      <c r="AN8" s="77">
        <v>6.1576354679802998</v>
      </c>
      <c r="AO8" s="92">
        <v>6.1576354679802998</v>
      </c>
      <c r="AP8" s="7"/>
    </row>
    <row r="9" spans="1:42" x14ac:dyDescent="0.3">
      <c r="A9" t="s">
        <v>17</v>
      </c>
      <c r="B9" t="s">
        <v>21</v>
      </c>
      <c r="C9" s="7" t="s">
        <v>38</v>
      </c>
      <c r="D9" s="510" t="s">
        <v>39</v>
      </c>
      <c r="E9" s="133" t="s">
        <v>200</v>
      </c>
      <c r="F9" s="128" t="s">
        <v>922</v>
      </c>
      <c r="G9" s="128" t="s">
        <v>185</v>
      </c>
      <c r="I9" s="128" t="s">
        <v>891</v>
      </c>
      <c r="J9" s="128" t="s">
        <v>227</v>
      </c>
      <c r="K9" s="133" t="s">
        <v>227</v>
      </c>
      <c r="L9" s="397" t="s">
        <v>227</v>
      </c>
      <c r="M9" s="397" t="s">
        <v>227</v>
      </c>
      <c r="N9" s="133"/>
      <c r="O9" s="133"/>
      <c r="P9" s="402">
        <v>28</v>
      </c>
      <c r="Q9" s="404" t="s">
        <v>912</v>
      </c>
      <c r="R9" s="404" t="s">
        <v>913</v>
      </c>
      <c r="S9" s="392">
        <v>4</v>
      </c>
      <c r="T9" s="94">
        <v>-35.150452819164471</v>
      </c>
      <c r="U9" s="94">
        <v>-60.101924887200958</v>
      </c>
      <c r="V9" s="94">
        <v>-19.496867595027112</v>
      </c>
      <c r="W9" s="94">
        <v>-48.973122991527902</v>
      </c>
      <c r="X9" s="94">
        <v>-78.602590320381722</v>
      </c>
      <c r="Y9" s="94">
        <v>-27.557211023468696</v>
      </c>
      <c r="Z9" s="94">
        <v>-58.439964943032422</v>
      </c>
      <c r="AA9" s="94">
        <v>-90.202217492313892</v>
      </c>
      <c r="AB9" s="94">
        <v>-39.156685168955107</v>
      </c>
      <c r="AC9" s="94">
        <v>0</v>
      </c>
      <c r="AD9" s="94">
        <v>0</v>
      </c>
      <c r="AE9" s="94">
        <v>0</v>
      </c>
      <c r="AF9" s="94">
        <v>-10.714285714285708</v>
      </c>
      <c r="AG9" s="94">
        <v>-29.19047619047619</v>
      </c>
      <c r="AH9" s="94">
        <v>2.9206349206349245</v>
      </c>
      <c r="AI9" s="94">
        <v>-25.714285714285708</v>
      </c>
      <c r="AJ9" s="94">
        <v>-60.476190476190467</v>
      </c>
      <c r="AK9" s="94">
        <v>-5.2380952380952408</v>
      </c>
      <c r="AL9" s="91">
        <v>0</v>
      </c>
      <c r="AM9" s="77">
        <v>12.678936605317</v>
      </c>
      <c r="AN9" s="77">
        <v>87.321063394682994</v>
      </c>
      <c r="AO9" s="92">
        <v>100</v>
      </c>
    </row>
    <row r="10" spans="1:42" x14ac:dyDescent="0.3">
      <c r="A10" t="s">
        <v>17</v>
      </c>
      <c r="B10" t="s">
        <v>21</v>
      </c>
      <c r="C10" s="7" t="s">
        <v>24</v>
      </c>
      <c r="D10" s="510" t="s">
        <v>25</v>
      </c>
      <c r="E10" s="133" t="s">
        <v>200</v>
      </c>
      <c r="F10" s="128" t="s">
        <v>922</v>
      </c>
      <c r="G10" s="128" t="s">
        <v>185</v>
      </c>
      <c r="I10" s="128" t="s">
        <v>891</v>
      </c>
      <c r="J10" s="128" t="s">
        <v>227</v>
      </c>
      <c r="K10" s="133" t="s">
        <v>227</v>
      </c>
      <c r="L10" s="397" t="s">
        <v>227</v>
      </c>
      <c r="M10" s="397" t="s">
        <v>227</v>
      </c>
      <c r="N10" s="133"/>
      <c r="O10" s="133"/>
      <c r="P10" s="402">
        <v>16</v>
      </c>
      <c r="Q10" s="405" t="s">
        <v>914</v>
      </c>
      <c r="R10" s="405" t="s">
        <v>915</v>
      </c>
      <c r="S10" s="392">
        <v>5</v>
      </c>
      <c r="T10" s="94">
        <v>-10.524075552008512</v>
      </c>
      <c r="U10" s="94">
        <v>-17.890860875697257</v>
      </c>
      <c r="V10" s="94">
        <v>-5.9513463982737846</v>
      </c>
      <c r="W10" s="94">
        <v>-23.446395317903679</v>
      </c>
      <c r="X10" s="94">
        <v>-42.145390744752255</v>
      </c>
      <c r="Y10" s="94">
        <v>-8.9997973118483827</v>
      </c>
      <c r="Z10" s="94">
        <v>-37.850492152168123</v>
      </c>
      <c r="AA10" s="94">
        <v>-66.752733123044365</v>
      </c>
      <c r="AB10" s="94">
        <v>-15.856142084394264</v>
      </c>
      <c r="AC10" s="94">
        <v>0</v>
      </c>
      <c r="AD10" s="94">
        <v>0</v>
      </c>
      <c r="AE10" s="94">
        <v>0</v>
      </c>
      <c r="AF10" s="94">
        <v>-12.142857142857139</v>
      </c>
      <c r="AG10" s="94">
        <v>-26.428571428571416</v>
      </c>
      <c r="AH10" s="94">
        <v>-0.79365079365078373</v>
      </c>
      <c r="AI10" s="94">
        <v>-28.571428571428569</v>
      </c>
      <c r="AJ10" s="94">
        <v>-55.714285714285708</v>
      </c>
      <c r="AK10" s="94">
        <v>-5.952380952380949</v>
      </c>
      <c r="AL10" s="91">
        <v>71.508379888268166</v>
      </c>
      <c r="AM10" s="77">
        <v>0.37243947858472998</v>
      </c>
      <c r="AN10" s="77">
        <v>28.119180633147099</v>
      </c>
      <c r="AO10" s="92">
        <v>28.49162011173183</v>
      </c>
    </row>
    <row r="11" spans="1:42" x14ac:dyDescent="0.3">
      <c r="A11" t="s">
        <v>17</v>
      </c>
      <c r="B11" t="s">
        <v>21</v>
      </c>
      <c r="C11" s="7" t="s">
        <v>31</v>
      </c>
      <c r="D11" s="510" t="s">
        <v>32</v>
      </c>
      <c r="E11" s="133" t="s">
        <v>186</v>
      </c>
      <c r="F11" s="133" t="s">
        <v>930</v>
      </c>
      <c r="G11" s="128" t="s">
        <v>185</v>
      </c>
      <c r="H11" s="128" t="s">
        <v>227</v>
      </c>
      <c r="I11" s="128" t="s">
        <v>892</v>
      </c>
      <c r="J11" s="128" t="s">
        <v>227</v>
      </c>
      <c r="K11" s="133" t="s">
        <v>187</v>
      </c>
      <c r="L11" s="397" t="s">
        <v>227</v>
      </c>
      <c r="M11" s="397"/>
      <c r="N11" s="133"/>
      <c r="O11" s="133"/>
      <c r="P11" s="402">
        <v>29019</v>
      </c>
      <c r="Q11" s="406">
        <v>24</v>
      </c>
      <c r="R11" s="406"/>
      <c r="S11" s="392">
        <v>6</v>
      </c>
      <c r="T11" s="94">
        <v>-1.307202514426848</v>
      </c>
      <c r="U11" s="94">
        <v>-2.1828270441342994</v>
      </c>
      <c r="V11" s="94">
        <v>-0.58868787947187684</v>
      </c>
      <c r="W11" s="94">
        <v>-9.1536209882217605</v>
      </c>
      <c r="X11" s="94">
        <v>-30.555386174705404</v>
      </c>
      <c r="Y11" s="94">
        <v>3.7830539709952973</v>
      </c>
      <c r="Z11" s="94">
        <v>-25.940960180503907</v>
      </c>
      <c r="AA11" s="94">
        <v>-52.901462128512655</v>
      </c>
      <c r="AB11" s="94">
        <v>5.5866588096354519</v>
      </c>
      <c r="AC11" s="94">
        <v>0</v>
      </c>
      <c r="AD11" s="94">
        <v>0</v>
      </c>
      <c r="AE11" s="94">
        <v>0</v>
      </c>
      <c r="AF11" s="94">
        <v>-7.8571428571428612</v>
      </c>
      <c r="AG11" s="94">
        <v>-29.043083900226762</v>
      </c>
      <c r="AH11" s="94">
        <v>4.5986394557823047</v>
      </c>
      <c r="AI11" s="94">
        <v>-25</v>
      </c>
      <c r="AJ11" s="94">
        <v>-51.741496598639458</v>
      </c>
      <c r="AK11" s="94">
        <v>6.4353741496598644</v>
      </c>
      <c r="AL11" s="91">
        <v>96.259465080757849</v>
      </c>
      <c r="AM11" s="77">
        <v>1.11956062526405</v>
      </c>
      <c r="AN11" s="77">
        <v>2.6209742939781</v>
      </c>
      <c r="AO11" s="92">
        <v>3.7405349192421502</v>
      </c>
    </row>
    <row r="12" spans="1:42" x14ac:dyDescent="0.3">
      <c r="A12" t="s">
        <v>17</v>
      </c>
      <c r="B12" t="s">
        <v>21</v>
      </c>
      <c r="C12" s="7" t="s">
        <v>22</v>
      </c>
      <c r="D12" s="510" t="s">
        <v>23</v>
      </c>
      <c r="E12" s="133" t="s">
        <v>200</v>
      </c>
      <c r="F12" s="133" t="s">
        <v>924</v>
      </c>
      <c r="G12" s="128" t="s">
        <v>353</v>
      </c>
      <c r="I12" s="128" t="s">
        <v>891</v>
      </c>
      <c r="J12" s="128" t="s">
        <v>346</v>
      </c>
      <c r="K12" s="133"/>
      <c r="L12" s="397"/>
      <c r="M12" s="397"/>
      <c r="N12" s="133"/>
      <c r="O12" s="133"/>
      <c r="P12" s="402"/>
      <c r="Q12" s="405"/>
      <c r="R12" s="405"/>
      <c r="S12" s="392">
        <v>7</v>
      </c>
      <c r="T12" s="94">
        <v>-37.012987012987018</v>
      </c>
      <c r="U12" s="94">
        <v>-66.701504844361992</v>
      </c>
      <c r="V12" s="94">
        <v>-25.79200164914451</v>
      </c>
      <c r="W12" s="94">
        <v>-51.753246753246749</v>
      </c>
      <c r="X12" s="94">
        <v>-84.692022263450838</v>
      </c>
      <c r="Y12" s="94">
        <v>-34.458256029684605</v>
      </c>
      <c r="Z12" s="94">
        <v>-59.805194805194809</v>
      </c>
      <c r="AA12" s="94">
        <v>-93.838589981447129</v>
      </c>
      <c r="AB12" s="94">
        <v>-39.863327149041439</v>
      </c>
      <c r="AC12" s="94">
        <v>0</v>
      </c>
      <c r="AD12" s="94">
        <v>0</v>
      </c>
      <c r="AE12" s="94">
        <v>0</v>
      </c>
      <c r="AF12" s="94">
        <v>-10.714285714285708</v>
      </c>
      <c r="AG12" s="94">
        <v>-30.043083900226748</v>
      </c>
      <c r="AH12" s="94">
        <v>2.3945578231292615</v>
      </c>
      <c r="AI12" s="94">
        <v>-35.714285714285708</v>
      </c>
      <c r="AJ12" s="94">
        <v>-57.904761904761898</v>
      </c>
      <c r="AK12" s="94">
        <v>-7.0204081632653015</v>
      </c>
      <c r="AL12" s="91">
        <v>0</v>
      </c>
      <c r="AM12" s="77">
        <v>9.0909090909090899</v>
      </c>
      <c r="AN12" s="77">
        <v>90.909090909090907</v>
      </c>
      <c r="AO12" s="92">
        <v>100</v>
      </c>
    </row>
    <row r="13" spans="1:42" x14ac:dyDescent="0.3">
      <c r="A13" t="s">
        <v>17</v>
      </c>
      <c r="B13" t="s">
        <v>21</v>
      </c>
      <c r="C13" s="7" t="s">
        <v>53</v>
      </c>
      <c r="D13" s="510" t="s">
        <v>54</v>
      </c>
      <c r="E13" s="133" t="s">
        <v>200</v>
      </c>
      <c r="F13" s="133" t="s">
        <v>929</v>
      </c>
      <c r="G13" s="128" t="s">
        <v>353</v>
      </c>
      <c r="I13" s="128" t="s">
        <v>891</v>
      </c>
      <c r="J13" s="128" t="s">
        <v>227</v>
      </c>
      <c r="K13" s="133"/>
      <c r="L13" s="397" t="s">
        <v>227</v>
      </c>
      <c r="M13" s="397" t="s">
        <v>227</v>
      </c>
      <c r="N13" s="133"/>
      <c r="O13" s="133"/>
      <c r="P13" s="402">
        <v>36</v>
      </c>
      <c r="Q13" s="407">
        <v>36</v>
      </c>
      <c r="R13" s="407" t="s">
        <v>916</v>
      </c>
      <c r="S13" s="392">
        <v>8</v>
      </c>
      <c r="T13" s="94">
        <v>-35.510943692648269</v>
      </c>
      <c r="U13" s="94">
        <v>-64.07055804076191</v>
      </c>
      <c r="V13" s="94">
        <v>-25.156258271033153</v>
      </c>
      <c r="W13" s="94">
        <v>-54.537704859499414</v>
      </c>
      <c r="X13" s="94">
        <v>-80.851388910142077</v>
      </c>
      <c r="Y13" s="94">
        <v>-37.193965114163632</v>
      </c>
      <c r="Z13" s="94">
        <v>-61.066519084514582</v>
      </c>
      <c r="AA13" s="94">
        <v>-90.29564037562038</v>
      </c>
      <c r="AB13" s="94">
        <v>-39.156318346717171</v>
      </c>
      <c r="AC13" s="94">
        <v>0</v>
      </c>
      <c r="AD13" s="94">
        <v>0</v>
      </c>
      <c r="AE13" s="94">
        <v>0</v>
      </c>
      <c r="AF13" s="94">
        <v>-16.428571428571431</v>
      </c>
      <c r="AG13" s="94">
        <v>-31.75736961451247</v>
      </c>
      <c r="AH13" s="94">
        <v>-4.8299319727891117</v>
      </c>
      <c r="AI13" s="94">
        <v>-39.285714285714285</v>
      </c>
      <c r="AJ13" s="94">
        <v>-59.72789115646259</v>
      </c>
      <c r="AK13" s="94">
        <v>-17.732426303854879</v>
      </c>
      <c r="AL13" s="91">
        <v>8.085478630342422</v>
      </c>
      <c r="AM13" s="77">
        <v>7.9855036240939796</v>
      </c>
      <c r="AN13" s="77">
        <v>83.929017745563598</v>
      </c>
      <c r="AO13" s="92">
        <v>91.914521369657578</v>
      </c>
    </row>
    <row r="14" spans="1:42" x14ac:dyDescent="0.3">
      <c r="A14" t="s">
        <v>17</v>
      </c>
      <c r="B14" t="s">
        <v>21</v>
      </c>
      <c r="C14" s="7" t="s">
        <v>49</v>
      </c>
      <c r="D14" s="510" t="s">
        <v>50</v>
      </c>
      <c r="E14" s="133" t="s">
        <v>925</v>
      </c>
      <c r="F14" s="128" t="s">
        <v>922</v>
      </c>
      <c r="G14" s="128" t="s">
        <v>185</v>
      </c>
      <c r="H14" s="128" t="s">
        <v>714</v>
      </c>
      <c r="I14" s="128" t="s">
        <v>892</v>
      </c>
      <c r="J14" s="128" t="s">
        <v>227</v>
      </c>
      <c r="K14" s="133" t="s">
        <v>227</v>
      </c>
      <c r="L14" s="397"/>
      <c r="M14" s="397" t="s">
        <v>227</v>
      </c>
      <c r="N14" s="133"/>
      <c r="O14" s="133"/>
      <c r="P14" s="402" t="s">
        <v>926</v>
      </c>
      <c r="Q14" s="407">
        <v>4</v>
      </c>
      <c r="R14" s="407"/>
      <c r="S14" s="392">
        <v>9</v>
      </c>
      <c r="T14" s="94">
        <v>-36.428571428571431</v>
      </c>
      <c r="U14" s="94">
        <v>-61.077097505668931</v>
      </c>
      <c r="V14" s="94">
        <v>-14.002267573696145</v>
      </c>
      <c r="W14" s="94">
        <v>-50</v>
      </c>
      <c r="X14" s="94">
        <v>-81.632653061224488</v>
      </c>
      <c r="Y14" s="94">
        <v>-24.795918367346943</v>
      </c>
      <c r="Z14" s="94">
        <v>-52.142857142857146</v>
      </c>
      <c r="AA14" s="94">
        <v>-90.578231292517017</v>
      </c>
      <c r="AB14" s="94">
        <v>-27.244897959183675</v>
      </c>
      <c r="AC14" s="94">
        <v>0</v>
      </c>
      <c r="AD14" s="94">
        <v>0</v>
      </c>
      <c r="AE14" s="94">
        <v>0</v>
      </c>
      <c r="AF14" s="94">
        <v>-10.714285714285708</v>
      </c>
      <c r="AG14" s="94">
        <v>-23.095238095238088</v>
      </c>
      <c r="AH14" s="94">
        <v>1.5079365079365203</v>
      </c>
      <c r="AI14" s="94">
        <v>-24.285714285714292</v>
      </c>
      <c r="AJ14" s="94">
        <v>-48.26530612244899</v>
      </c>
      <c r="AK14" s="94">
        <v>-5.5102040816326507</v>
      </c>
      <c r="AL14" s="91">
        <v>0</v>
      </c>
      <c r="AM14" s="77">
        <v>0</v>
      </c>
      <c r="AN14" s="77">
        <v>100</v>
      </c>
      <c r="AO14" s="92">
        <v>100</v>
      </c>
    </row>
    <row r="15" spans="1:42" ht="14.4" customHeight="1" x14ac:dyDescent="0.3">
      <c r="A15" t="s">
        <v>17</v>
      </c>
      <c r="B15" t="s">
        <v>21</v>
      </c>
      <c r="C15" s="7" t="s">
        <v>45</v>
      </c>
      <c r="D15" s="510" t="s">
        <v>46</v>
      </c>
      <c r="E15" s="133" t="s">
        <v>200</v>
      </c>
      <c r="F15" s="133" t="s">
        <v>928</v>
      </c>
      <c r="G15" s="128" t="s">
        <v>185</v>
      </c>
      <c r="I15" s="128" t="s">
        <v>891</v>
      </c>
      <c r="J15" s="128" t="s">
        <v>201</v>
      </c>
      <c r="K15" s="133"/>
      <c r="L15" s="397"/>
      <c r="M15" s="397" t="s">
        <v>201</v>
      </c>
      <c r="N15" s="133"/>
      <c r="O15" s="133"/>
      <c r="P15" s="402">
        <v>2112</v>
      </c>
      <c r="Q15" s="406">
        <v>92</v>
      </c>
      <c r="R15" s="407"/>
      <c r="S15" s="392">
        <v>10</v>
      </c>
      <c r="T15" s="94">
        <v>-11.193684633950127</v>
      </c>
      <c r="U15" s="94">
        <v>-22.252450001185807</v>
      </c>
      <c r="V15" s="94">
        <v>-4.9774661004117462</v>
      </c>
      <c r="W15" s="94">
        <v>-21.016980806803829</v>
      </c>
      <c r="X15" s="94">
        <v>-42.766590411976019</v>
      </c>
      <c r="Y15" s="94">
        <v>-5.4481490906901797</v>
      </c>
      <c r="Z15" s="94">
        <v>-33.654752327318718</v>
      </c>
      <c r="AA15" s="94">
        <v>-62.299523590610832</v>
      </c>
      <c r="AB15" s="94">
        <v>-12.472673502224708</v>
      </c>
      <c r="AC15" s="94">
        <v>0</v>
      </c>
      <c r="AD15" s="94">
        <v>0</v>
      </c>
      <c r="AE15" s="94">
        <v>0</v>
      </c>
      <c r="AF15" s="94">
        <v>-7.1428571428571388</v>
      </c>
      <c r="AG15" s="94">
        <v>-22.471655328798178</v>
      </c>
      <c r="AH15" s="94">
        <v>4.9659863945578309</v>
      </c>
      <c r="AI15" s="94">
        <v>-21.428571428571431</v>
      </c>
      <c r="AJ15" s="94">
        <v>-48.095238095238095</v>
      </c>
      <c r="AK15" s="94">
        <v>-1.6666666666666714</v>
      </c>
      <c r="AL15" s="91">
        <v>58.35679806918742</v>
      </c>
      <c r="AM15" s="77">
        <v>9.5736122284794796</v>
      </c>
      <c r="AN15" s="77">
        <v>32.069589702333097</v>
      </c>
      <c r="AO15" s="92">
        <v>41.64320193081258</v>
      </c>
    </row>
    <row r="16" spans="1:42" x14ac:dyDescent="0.3">
      <c r="A16" t="s">
        <v>17</v>
      </c>
      <c r="B16" s="9" t="s">
        <v>28</v>
      </c>
      <c r="C16" s="7" t="s">
        <v>29</v>
      </c>
      <c r="D16" s="510" t="s">
        <v>927</v>
      </c>
      <c r="E16" s="133" t="s">
        <v>186</v>
      </c>
      <c r="F16" s="133" t="s">
        <v>928</v>
      </c>
      <c r="G16" s="128" t="s">
        <v>185</v>
      </c>
      <c r="H16" s="128" t="s">
        <v>201</v>
      </c>
      <c r="I16" s="128" t="s">
        <v>892</v>
      </c>
      <c r="J16" s="128" t="s">
        <v>201</v>
      </c>
      <c r="K16" s="128" t="s">
        <v>201</v>
      </c>
      <c r="L16" s="398"/>
      <c r="M16" s="398" t="s">
        <v>201</v>
      </c>
      <c r="P16" s="407">
        <v>6378</v>
      </c>
      <c r="Q16" s="407">
        <v>308</v>
      </c>
      <c r="R16" s="407"/>
      <c r="S16" s="392">
        <v>11</v>
      </c>
      <c r="T16" s="94">
        <v>-11.943952802359888</v>
      </c>
      <c r="U16" s="94">
        <v>-25.288041391581217</v>
      </c>
      <c r="V16" s="94">
        <v>-5.9533408250222521</v>
      </c>
      <c r="W16" s="94">
        <v>-19.212389380530965</v>
      </c>
      <c r="X16" s="94">
        <v>-37.438487882862084</v>
      </c>
      <c r="Y16" s="94">
        <v>-5.2913899089626</v>
      </c>
      <c r="Z16" s="94">
        <v>-12.032237673830593</v>
      </c>
      <c r="AA16" s="94">
        <v>-43.384383842032385</v>
      </c>
      <c r="AB16" s="94">
        <v>7.1699476250671523E-2</v>
      </c>
      <c r="AC16" s="94">
        <v>0</v>
      </c>
      <c r="AD16" s="94">
        <v>0</v>
      </c>
      <c r="AE16" s="94">
        <v>0</v>
      </c>
      <c r="AF16" s="94">
        <v>-5</v>
      </c>
      <c r="AG16" s="94">
        <v>-12.086167800453509</v>
      </c>
      <c r="AH16" s="94">
        <v>2.0861678004535094</v>
      </c>
      <c r="AI16" s="94">
        <v>-2.1428571428571388</v>
      </c>
      <c r="AJ16" s="94">
        <v>-25.102040816326536</v>
      </c>
      <c r="AK16" s="94">
        <v>8.6734693877551052</v>
      </c>
      <c r="AL16" s="91">
        <v>41.976401179941014</v>
      </c>
      <c r="AM16" s="77">
        <v>4.1297935103244798</v>
      </c>
      <c r="AN16" s="77">
        <v>53.893805309734503</v>
      </c>
      <c r="AO16" s="92">
        <v>58.023598820058986</v>
      </c>
    </row>
    <row r="17" spans="1:74" x14ac:dyDescent="0.3">
      <c r="A17" t="s">
        <v>17</v>
      </c>
      <c r="B17" t="s">
        <v>18</v>
      </c>
      <c r="C17" s="7" t="s">
        <v>62</v>
      </c>
      <c r="D17" s="510" t="s">
        <v>63</v>
      </c>
      <c r="E17" s="133" t="s">
        <v>704</v>
      </c>
      <c r="F17" s="133" t="s">
        <v>911</v>
      </c>
      <c r="G17" s="128" t="s">
        <v>185</v>
      </c>
      <c r="H17" s="128" t="s">
        <v>201</v>
      </c>
      <c r="I17" s="128" t="s">
        <v>892</v>
      </c>
      <c r="J17" s="128" t="s">
        <v>187</v>
      </c>
      <c r="K17" s="133" t="s">
        <v>227</v>
      </c>
      <c r="L17" s="397"/>
      <c r="M17" s="397" t="s">
        <v>187</v>
      </c>
      <c r="N17" s="133"/>
      <c r="O17" s="133"/>
      <c r="P17" s="402">
        <v>82420</v>
      </c>
      <c r="Q17" s="402">
        <v>688</v>
      </c>
      <c r="R17" s="397" t="s">
        <v>910</v>
      </c>
      <c r="T17" s="95"/>
      <c r="U17" s="95"/>
      <c r="V17" s="95"/>
      <c r="W17" s="95"/>
      <c r="X17" s="95"/>
      <c r="Y17" s="95"/>
      <c r="Z17" s="95"/>
      <c r="AA17" s="95"/>
      <c r="AB17" s="95"/>
      <c r="AC17" s="95"/>
      <c r="AD17" s="95"/>
      <c r="AE17" s="95"/>
      <c r="AF17" s="95"/>
      <c r="AG17" s="95"/>
      <c r="AH17" s="95"/>
      <c r="AI17" s="95"/>
      <c r="AJ17" s="95"/>
      <c r="AK17" s="95"/>
      <c r="AL17" s="91">
        <v>99.3993993993994</v>
      </c>
      <c r="AM17" s="77">
        <v>3.0030030030029999E-2</v>
      </c>
      <c r="AN17" s="77">
        <v>0.57057057057057103</v>
      </c>
      <c r="AO17" s="92">
        <v>0.60060060060060105</v>
      </c>
      <c r="AP17" s="7"/>
    </row>
    <row r="18" spans="1:74" x14ac:dyDescent="0.3">
      <c r="A18" t="s">
        <v>17</v>
      </c>
      <c r="B18" t="s">
        <v>18</v>
      </c>
      <c r="C18" s="7" t="s">
        <v>36</v>
      </c>
      <c r="D18" s="510" t="s">
        <v>37</v>
      </c>
      <c r="E18" s="133" t="s">
        <v>186</v>
      </c>
      <c r="F18" s="133" t="s">
        <v>931</v>
      </c>
      <c r="G18" s="128" t="s">
        <v>185</v>
      </c>
      <c r="H18" s="128" t="s">
        <v>201</v>
      </c>
      <c r="I18" s="128" t="s">
        <v>892</v>
      </c>
      <c r="J18" s="128" t="s">
        <v>201</v>
      </c>
      <c r="L18" s="398" t="s">
        <v>201</v>
      </c>
      <c r="M18" s="398" t="s">
        <v>201</v>
      </c>
      <c r="P18" s="407">
        <v>65231</v>
      </c>
      <c r="Q18" s="407">
        <v>492</v>
      </c>
      <c r="R18" s="407"/>
      <c r="S18" s="392">
        <v>12</v>
      </c>
      <c r="T18" s="94">
        <v>-3.503847203411226</v>
      </c>
      <c r="U18" s="94">
        <v>-6.1626702776284787</v>
      </c>
      <c r="V18" s="94">
        <v>-1.5547505670262893</v>
      </c>
      <c r="W18" s="94">
        <v>-8.9494439301074493</v>
      </c>
      <c r="X18" s="94">
        <v>-26.610122749689339</v>
      </c>
      <c r="Y18" s="94">
        <v>-1.3464574831194227</v>
      </c>
      <c r="Z18" s="94">
        <v>-24.654212085040257</v>
      </c>
      <c r="AA18" s="94">
        <v>-48.727067592808041</v>
      </c>
      <c r="AB18" s="94">
        <v>-2.7759932769207438</v>
      </c>
      <c r="AC18" s="94">
        <v>0</v>
      </c>
      <c r="AD18" s="94">
        <v>0</v>
      </c>
      <c r="AE18" s="94">
        <v>0</v>
      </c>
      <c r="AF18" s="94">
        <v>-4.2857142857142918</v>
      </c>
      <c r="AG18" s="94">
        <v>-21.303854875283449</v>
      </c>
      <c r="AH18" s="94">
        <v>1.2131519274376359</v>
      </c>
      <c r="AI18" s="94">
        <v>-22.142857142857139</v>
      </c>
      <c r="AJ18" s="94">
        <v>-44.512471655328795</v>
      </c>
      <c r="AK18" s="94">
        <v>2.2675736961446091E-2</v>
      </c>
      <c r="AL18" s="91">
        <v>84.929861363396697</v>
      </c>
      <c r="AM18" s="77">
        <v>3.3528260538374099</v>
      </c>
      <c r="AN18" s="77">
        <v>11.717312582765899</v>
      </c>
      <c r="AO18" s="92">
        <v>15.070138636603309</v>
      </c>
    </row>
    <row r="19" spans="1:74" ht="16.8" customHeight="1" x14ac:dyDescent="0.3">
      <c r="A19" t="s">
        <v>17</v>
      </c>
      <c r="B19" t="s">
        <v>18</v>
      </c>
      <c r="C19" s="7" t="s">
        <v>19</v>
      </c>
      <c r="D19" s="510" t="s">
        <v>20</v>
      </c>
      <c r="E19" s="133" t="s">
        <v>186</v>
      </c>
      <c r="F19" s="133" t="s">
        <v>933</v>
      </c>
      <c r="G19" s="130" t="s">
        <v>353</v>
      </c>
      <c r="H19" s="128" t="s">
        <v>715</v>
      </c>
      <c r="I19" s="128" t="s">
        <v>891</v>
      </c>
      <c r="J19" s="134" t="s">
        <v>351</v>
      </c>
      <c r="K19" s="134"/>
      <c r="L19" s="399"/>
      <c r="M19" s="399" t="s">
        <v>187</v>
      </c>
      <c r="N19" s="134"/>
      <c r="O19" s="134"/>
      <c r="P19" s="408">
        <v>6885</v>
      </c>
      <c r="Q19" s="408" t="s">
        <v>932</v>
      </c>
      <c r="R19" s="408"/>
      <c r="S19" s="392">
        <v>13</v>
      </c>
      <c r="T19" s="94">
        <v>-14.297849074367491</v>
      </c>
      <c r="U19" s="94">
        <v>-24.882932106849651</v>
      </c>
      <c r="V19" s="94">
        <v>-6.8734892569723911</v>
      </c>
      <c r="W19" s="94">
        <v>-23.917952343708507</v>
      </c>
      <c r="X19" s="94">
        <v>-47.678479954288591</v>
      </c>
      <c r="Y19" s="94">
        <v>-11.504978076263768</v>
      </c>
      <c r="Z19" s="94">
        <v>-34.570831448243524</v>
      </c>
      <c r="AA19" s="94">
        <v>-67.061702554677197</v>
      </c>
      <c r="AB19" s="94">
        <v>-14.917148503908123</v>
      </c>
      <c r="AC19" s="94">
        <v>0</v>
      </c>
      <c r="AD19" s="94">
        <v>0</v>
      </c>
      <c r="AE19" s="94">
        <v>0</v>
      </c>
      <c r="AF19" s="94">
        <v>-5</v>
      </c>
      <c r="AG19" s="94">
        <v>-29.569160997732425</v>
      </c>
      <c r="AH19" s="94">
        <v>0.70294784580498515</v>
      </c>
      <c r="AI19" s="94">
        <v>-26.428571428571431</v>
      </c>
      <c r="AJ19" s="94">
        <v>-52.267573696145128</v>
      </c>
      <c r="AK19" s="94">
        <v>-4.8752834467120181</v>
      </c>
      <c r="AL19" s="91">
        <v>46.257997512597264</v>
      </c>
      <c r="AM19" s="77">
        <v>4.7119613298629401</v>
      </c>
      <c r="AN19" s="77">
        <v>49.030041157539799</v>
      </c>
      <c r="AO19" s="92">
        <v>53.742002487402736</v>
      </c>
    </row>
    <row r="20" spans="1:74" x14ac:dyDescent="0.3">
      <c r="A20" t="s">
        <v>17</v>
      </c>
      <c r="B20" s="9" t="s">
        <v>40</v>
      </c>
      <c r="C20" s="7" t="s">
        <v>41</v>
      </c>
      <c r="D20" s="510" t="s">
        <v>42</v>
      </c>
      <c r="E20" s="133" t="s">
        <v>200</v>
      </c>
      <c r="F20" s="133" t="s">
        <v>935</v>
      </c>
      <c r="G20" s="128" t="s">
        <v>185</v>
      </c>
      <c r="I20" s="128" t="s">
        <v>891</v>
      </c>
      <c r="J20" s="129" t="s">
        <v>201</v>
      </c>
      <c r="K20" s="129" t="s">
        <v>187</v>
      </c>
      <c r="L20" s="400" t="s">
        <v>201</v>
      </c>
      <c r="M20" s="400" t="s">
        <v>201</v>
      </c>
      <c r="N20" s="129"/>
      <c r="O20" s="129"/>
      <c r="P20" s="407">
        <v>256157</v>
      </c>
      <c r="Q20" s="407" t="s">
        <v>934</v>
      </c>
      <c r="R20" s="407"/>
      <c r="S20" s="392">
        <v>14</v>
      </c>
      <c r="T20" s="94">
        <v>-12.470305721428574</v>
      </c>
      <c r="U20" s="94">
        <v>-24.007682831587303</v>
      </c>
      <c r="V20" s="94">
        <v>-4.6712508017460266</v>
      </c>
      <c r="W20" s="94">
        <v>-26.199121428571431</v>
      </c>
      <c r="X20" s="94">
        <v>-48.871108515941046</v>
      </c>
      <c r="Y20" s="94">
        <v>-5.5039925118367421</v>
      </c>
      <c r="Z20" s="94">
        <v>-40.594924564285705</v>
      </c>
      <c r="AA20" s="94">
        <v>-68.019514040884346</v>
      </c>
      <c r="AB20" s="94">
        <v>-11.90696937204082</v>
      </c>
      <c r="AC20" s="94">
        <v>0</v>
      </c>
      <c r="AD20" s="94">
        <v>0</v>
      </c>
      <c r="AE20" s="94">
        <v>0</v>
      </c>
      <c r="AF20" s="94">
        <v>-9.2857142857142918</v>
      </c>
      <c r="AG20" s="94">
        <v>-31.793650793650798</v>
      </c>
      <c r="AH20" s="94">
        <v>10.492063492063494</v>
      </c>
      <c r="AI20" s="94">
        <v>-30.714285714285708</v>
      </c>
      <c r="AJ20" s="94">
        <v>-57.920634920634917</v>
      </c>
      <c r="AK20" s="94">
        <v>-7.5555555555555429</v>
      </c>
      <c r="AL20" s="73">
        <v>49.852119999999999</v>
      </c>
      <c r="AM20" s="74">
        <v>6.8517910000000004</v>
      </c>
      <c r="AN20" s="74">
        <v>43.29609</v>
      </c>
      <c r="AO20" s="92">
        <v>50.147880999999998</v>
      </c>
    </row>
    <row r="21" spans="1:74" s="10" customFormat="1" x14ac:dyDescent="0.3">
      <c r="A21" t="s">
        <v>17</v>
      </c>
      <c r="B21" s="9" t="s">
        <v>28</v>
      </c>
      <c r="C21" s="7" t="s">
        <v>43</v>
      </c>
      <c r="D21" s="510" t="s">
        <v>44</v>
      </c>
      <c r="E21" s="133" t="s">
        <v>186</v>
      </c>
      <c r="F21" s="133" t="s">
        <v>936</v>
      </c>
      <c r="G21" s="128" t="s">
        <v>185</v>
      </c>
      <c r="H21" s="128" t="s">
        <v>201</v>
      </c>
      <c r="I21" s="128" t="s">
        <v>891</v>
      </c>
      <c r="J21" s="129" t="s">
        <v>201</v>
      </c>
      <c r="K21" s="129" t="s">
        <v>201</v>
      </c>
      <c r="L21" s="400"/>
      <c r="M21" s="400" t="s">
        <v>201</v>
      </c>
      <c r="N21" s="129"/>
      <c r="O21" s="129"/>
      <c r="P21" s="407">
        <v>20947</v>
      </c>
      <c r="Q21" s="407">
        <v>292</v>
      </c>
      <c r="R21" s="407"/>
      <c r="S21" s="392">
        <v>15</v>
      </c>
      <c r="T21" s="94">
        <v>-7.416630988059552</v>
      </c>
      <c r="U21" s="94">
        <v>-13.84287972043073</v>
      </c>
      <c r="V21" s="94">
        <v>-3.3852315484968472</v>
      </c>
      <c r="W21" s="94">
        <v>-14.235288521002801</v>
      </c>
      <c r="X21" s="94">
        <v>-34.1689527403813</v>
      </c>
      <c r="Y21" s="94">
        <v>-2.8761903251699152</v>
      </c>
      <c r="Z21" s="94">
        <v>-25.155558726987294</v>
      </c>
      <c r="AA21" s="94">
        <v>-47.106861392575674</v>
      </c>
      <c r="AB21" s="94">
        <v>-3.7368527164445453</v>
      </c>
      <c r="AC21" s="94">
        <v>0</v>
      </c>
      <c r="AD21" s="94">
        <v>0</v>
      </c>
      <c r="AE21" s="94">
        <v>0</v>
      </c>
      <c r="AF21" s="94">
        <v>-7.1428571428571388</v>
      </c>
      <c r="AG21" s="94">
        <v>-24.433106575963706</v>
      </c>
      <c r="AH21" s="94">
        <v>1.3718820861678012</v>
      </c>
      <c r="AI21" s="94">
        <v>-20</v>
      </c>
      <c r="AJ21" s="94">
        <v>-38.061224489795919</v>
      </c>
      <c r="AK21" s="94">
        <v>1.0204081632653015</v>
      </c>
      <c r="AL21" s="91">
        <v>72.860472860472868</v>
      </c>
      <c r="AM21" s="77">
        <v>9.1242091242091306</v>
      </c>
      <c r="AN21" s="77">
        <v>18.015318015318002</v>
      </c>
      <c r="AO21" s="92">
        <v>27.139527139527132</v>
      </c>
      <c r="AP21"/>
      <c r="AQ21"/>
      <c r="AR21"/>
      <c r="AS21"/>
      <c r="AT21"/>
      <c r="AU21"/>
      <c r="AV21"/>
      <c r="AW21"/>
      <c r="AX21"/>
      <c r="AY21"/>
      <c r="AZ21"/>
      <c r="BA21"/>
      <c r="BB21"/>
      <c r="BC21"/>
      <c r="BD21"/>
      <c r="BE21"/>
      <c r="BF21"/>
      <c r="BG21"/>
      <c r="BH21"/>
      <c r="BI21"/>
      <c r="BJ21"/>
      <c r="BK21"/>
      <c r="BL21"/>
      <c r="BM21"/>
      <c r="BN21"/>
      <c r="BO21"/>
      <c r="BP21"/>
      <c r="BQ21"/>
      <c r="BR21"/>
      <c r="BS21"/>
      <c r="BT21"/>
      <c r="BU21"/>
      <c r="BV21"/>
    </row>
    <row r="22" spans="1:74" x14ac:dyDescent="0.3">
      <c r="A22" t="s">
        <v>17</v>
      </c>
      <c r="B22" s="9" t="s">
        <v>55</v>
      </c>
      <c r="C22" s="7" t="s">
        <v>56</v>
      </c>
      <c r="D22" s="510" t="s">
        <v>937</v>
      </c>
      <c r="E22" s="129" t="s">
        <v>186</v>
      </c>
      <c r="F22" s="133" t="s">
        <v>717</v>
      </c>
      <c r="G22" s="128" t="s">
        <v>185</v>
      </c>
      <c r="H22" s="128" t="s">
        <v>187</v>
      </c>
      <c r="I22" s="128" t="s">
        <v>891</v>
      </c>
      <c r="J22" s="128" t="s">
        <v>187</v>
      </c>
      <c r="K22" s="129" t="s">
        <v>187</v>
      </c>
      <c r="L22" s="400"/>
      <c r="M22" s="400" t="s">
        <v>187</v>
      </c>
      <c r="N22" s="129"/>
      <c r="O22" s="129"/>
      <c r="P22" s="407">
        <v>225084</v>
      </c>
      <c r="Q22" s="407" t="s">
        <v>938</v>
      </c>
      <c r="R22" s="407"/>
      <c r="T22" s="95"/>
      <c r="U22" s="95"/>
      <c r="V22" s="95"/>
      <c r="W22" s="95"/>
      <c r="X22" s="95"/>
      <c r="Y22" s="95"/>
      <c r="Z22" s="95"/>
      <c r="AA22" s="95"/>
      <c r="AB22" s="95"/>
      <c r="AC22" s="95"/>
      <c r="AD22" s="95"/>
      <c r="AE22" s="95"/>
      <c r="AF22" s="95"/>
      <c r="AG22" s="95"/>
      <c r="AH22" s="95"/>
      <c r="AI22" s="95"/>
      <c r="AJ22" s="95"/>
      <c r="AK22" s="95"/>
      <c r="AL22" s="91">
        <v>82.279378402903845</v>
      </c>
      <c r="AM22" s="77">
        <v>2.7705308529945598</v>
      </c>
      <c r="AN22" s="77">
        <v>14.950090744101599</v>
      </c>
      <c r="AO22" s="92">
        <v>17.720621597096159</v>
      </c>
      <c r="AP22" s="7"/>
    </row>
    <row r="23" spans="1:74" x14ac:dyDescent="0.3">
      <c r="A23" t="s">
        <v>17</v>
      </c>
      <c r="B23" t="s">
        <v>33</v>
      </c>
      <c r="C23" s="7" t="s">
        <v>34</v>
      </c>
      <c r="D23" s="510" t="s">
        <v>35</v>
      </c>
      <c r="E23" s="133" t="s">
        <v>200</v>
      </c>
      <c r="F23" s="133" t="s">
        <v>939</v>
      </c>
      <c r="G23" s="128" t="s">
        <v>185</v>
      </c>
      <c r="H23" s="128" t="s">
        <v>187</v>
      </c>
      <c r="I23" s="128" t="s">
        <v>891</v>
      </c>
      <c r="J23" s="129" t="s">
        <v>201</v>
      </c>
      <c r="K23" s="129" t="s">
        <v>201</v>
      </c>
      <c r="L23" s="400"/>
      <c r="M23" s="400" t="s">
        <v>201</v>
      </c>
      <c r="N23" s="129"/>
      <c r="O23" s="129"/>
      <c r="P23" s="407"/>
      <c r="Q23" s="407">
        <v>64</v>
      </c>
      <c r="R23" s="400"/>
      <c r="S23" s="392">
        <v>16</v>
      </c>
      <c r="T23" s="94">
        <v>-5.6503496503496393</v>
      </c>
      <c r="U23" s="94">
        <v>-9.7007252007252021</v>
      </c>
      <c r="V23" s="94">
        <v>-3.2478632478632505</v>
      </c>
      <c r="W23" s="94">
        <v>-11.627622377622387</v>
      </c>
      <c r="X23" s="94">
        <v>-36.257945757945762</v>
      </c>
      <c r="Y23" s="94">
        <v>-0.67562067562066375</v>
      </c>
      <c r="Z23" s="94">
        <v>-21.266317016317018</v>
      </c>
      <c r="AA23" s="94">
        <v>-47.860722610722618</v>
      </c>
      <c r="AB23" s="94">
        <v>2.8955766455766536</v>
      </c>
      <c r="AC23" s="94">
        <v>0</v>
      </c>
      <c r="AD23" s="94">
        <v>0</v>
      </c>
      <c r="AE23" s="94">
        <v>0</v>
      </c>
      <c r="AF23" s="94">
        <v>-5.8333333333333286</v>
      </c>
      <c r="AG23" s="94">
        <v>-30.291005291005291</v>
      </c>
      <c r="AH23" s="94">
        <v>3.3862433862433932</v>
      </c>
      <c r="AI23" s="94">
        <v>-16.666666666666671</v>
      </c>
      <c r="AJ23" s="94">
        <v>-43.333333333333343</v>
      </c>
      <c r="AK23" s="94">
        <v>7.6190476190476204</v>
      </c>
      <c r="AL23" s="91">
        <v>82.72727272727272</v>
      </c>
      <c r="AM23" s="77">
        <v>2.5874125874125902</v>
      </c>
      <c r="AN23" s="77">
        <v>14.685314685314699</v>
      </c>
      <c r="AO23" s="92">
        <v>17.272727272727288</v>
      </c>
      <c r="AP23" s="7"/>
    </row>
    <row r="24" spans="1:74" x14ac:dyDescent="0.3">
      <c r="D24" s="11"/>
      <c r="E24" s="131"/>
      <c r="F24" s="131"/>
      <c r="G24" s="131"/>
      <c r="H24" s="131"/>
      <c r="I24" s="131"/>
      <c r="J24" s="131"/>
      <c r="K24" s="131"/>
      <c r="L24" s="131"/>
      <c r="M24" s="131"/>
      <c r="N24" s="131"/>
      <c r="O24" s="131"/>
      <c r="P24" s="395"/>
      <c r="Q24" s="395"/>
      <c r="R24" s="131"/>
      <c r="S24" s="393"/>
      <c r="T24" s="96"/>
      <c r="U24" s="96"/>
      <c r="V24" s="96"/>
      <c r="W24" s="96"/>
      <c r="X24" s="96"/>
      <c r="Y24" s="96"/>
      <c r="Z24" s="96"/>
      <c r="AA24" s="96"/>
      <c r="AB24" s="96"/>
      <c r="AC24" s="96"/>
      <c r="AD24" s="96"/>
      <c r="AE24" s="96"/>
      <c r="AF24" s="96"/>
      <c r="AG24" s="96"/>
      <c r="AH24" s="96"/>
      <c r="AI24" s="96"/>
      <c r="AJ24" s="96"/>
      <c r="AK24" s="96"/>
      <c r="AP24" s="11"/>
    </row>
    <row r="25" spans="1:74" ht="14.4" customHeight="1" x14ac:dyDescent="0.3">
      <c r="D25" s="12"/>
      <c r="E25" s="132"/>
      <c r="F25" s="132"/>
      <c r="G25" s="132"/>
      <c r="H25" s="132"/>
      <c r="I25" s="132"/>
      <c r="J25" s="132"/>
      <c r="K25" s="132"/>
      <c r="L25" s="132"/>
      <c r="M25" s="132"/>
      <c r="N25" s="132"/>
      <c r="O25" s="132"/>
      <c r="P25" s="396"/>
      <c r="Q25" s="396"/>
      <c r="R25" s="132"/>
      <c r="S25" s="393"/>
      <c r="T25" s="97"/>
      <c r="U25" s="97"/>
      <c r="V25" s="97"/>
      <c r="W25" s="97"/>
      <c r="X25" s="97"/>
      <c r="Y25" s="97"/>
      <c r="Z25" s="97"/>
      <c r="AA25" s="97"/>
      <c r="AB25" s="97"/>
      <c r="AC25" s="97"/>
      <c r="AD25" s="97"/>
      <c r="AE25" s="97"/>
      <c r="AF25" s="97"/>
      <c r="AG25" s="97"/>
      <c r="AH25" s="97"/>
      <c r="AI25" s="97"/>
      <c r="AJ25" s="97"/>
      <c r="AK25" s="97"/>
      <c r="AP25" s="12"/>
    </row>
    <row r="26" spans="1:74" ht="14.4" customHeight="1" x14ac:dyDescent="0.3">
      <c r="D26" s="12"/>
      <c r="E26" s="132"/>
      <c r="F26" s="132"/>
      <c r="G26" s="132"/>
      <c r="H26" s="132"/>
      <c r="I26" s="132"/>
      <c r="J26" s="132"/>
      <c r="K26" s="132"/>
      <c r="L26" s="132"/>
      <c r="M26" s="132"/>
      <c r="N26" s="132"/>
      <c r="O26" s="132"/>
      <c r="P26" s="396"/>
      <c r="Q26" s="396"/>
      <c r="R26" s="132"/>
      <c r="S26" s="393"/>
      <c r="T26" s="97"/>
      <c r="U26" s="97"/>
      <c r="V26" s="97"/>
      <c r="W26" s="97"/>
      <c r="X26" s="97"/>
      <c r="Y26" s="97"/>
      <c r="Z26" s="97"/>
      <c r="AA26" s="97"/>
      <c r="AB26" s="97"/>
      <c r="AC26" s="97"/>
      <c r="AD26" s="97"/>
      <c r="AE26" s="97"/>
      <c r="AF26" s="97"/>
      <c r="AG26" s="97"/>
      <c r="AH26" s="97"/>
      <c r="AI26" s="97"/>
      <c r="AJ26" s="97"/>
      <c r="AK26" s="97"/>
      <c r="AP26" s="12"/>
    </row>
  </sheetData>
  <sortState xmlns:xlrd2="http://schemas.microsoft.com/office/spreadsheetml/2017/richdata2" ref="A3:BV23">
    <sortCondition ref="D3:D23"/>
  </sortState>
  <mergeCells count="3">
    <mergeCell ref="T1:AK1"/>
    <mergeCell ref="AL1:AO1"/>
    <mergeCell ref="L1:O1"/>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DF896-3EA9-42FC-A83F-98E79D116A06}">
  <dimension ref="A1:IN35"/>
  <sheetViews>
    <sheetView zoomScale="80" zoomScaleNormal="80" workbookViewId="0">
      <pane xSplit="4" ySplit="2" topLeftCell="BU3" activePane="bottomRight" state="frozen"/>
      <selection pane="topRight" activeCell="E1" sqref="E1"/>
      <selection pane="bottomLeft" activeCell="A3" sqref="A3"/>
      <selection pane="bottomRight" activeCell="CE14" sqref="CE14"/>
    </sheetView>
  </sheetViews>
  <sheetFormatPr defaultRowHeight="14.4" x14ac:dyDescent="0.3"/>
  <cols>
    <col min="1" max="1" width="9" style="23" bestFit="1" customWidth="1"/>
    <col min="2" max="2" width="13.44140625" style="41" bestFit="1" customWidth="1"/>
    <col min="3" max="3" width="26.5546875" style="41" bestFit="1" customWidth="1"/>
    <col min="4" max="4" width="23.44140625" style="41" bestFit="1" customWidth="1"/>
    <col min="5" max="5" width="10" style="205" customWidth="1"/>
    <col min="6" max="6" width="65.33203125" style="128" customWidth="1"/>
    <col min="7" max="7" width="9.44140625" style="128" bestFit="1" customWidth="1"/>
    <col min="8" max="8" width="7.44140625" style="128" customWidth="1"/>
    <col min="9" max="9" width="14.44140625" style="135" bestFit="1" customWidth="1"/>
    <col min="10" max="10" width="9.33203125" style="135" customWidth="1"/>
    <col min="11" max="11" width="7.5546875" style="184" customWidth="1"/>
    <col min="12" max="29" width="7.44140625" customWidth="1"/>
    <col min="30" max="30" width="10.88671875" style="23" customWidth="1"/>
    <col min="31" max="32" width="10.88671875" style="41" customWidth="1"/>
    <col min="33" max="33" width="10.88671875" style="29" customWidth="1"/>
    <col min="34" max="51" width="7.44140625" customWidth="1"/>
    <col min="52" max="52" width="10.88671875" style="23" customWidth="1"/>
    <col min="53" max="55" width="10.88671875" style="41" customWidth="1"/>
    <col min="56" max="56" width="25.33203125" style="518" bestFit="1" customWidth="1"/>
    <col min="71" max="71" width="8.88671875" style="23"/>
    <col min="78" max="78" width="8.88671875" style="29"/>
  </cols>
  <sheetData>
    <row r="1" spans="1:248" ht="73.95" customHeight="1" thickBot="1" x14ac:dyDescent="0.35">
      <c r="A1" s="13"/>
      <c r="B1" s="14"/>
      <c r="C1" s="14"/>
      <c r="D1" s="14"/>
      <c r="E1" s="201"/>
      <c r="F1" s="202"/>
      <c r="G1" s="202"/>
      <c r="H1" s="203"/>
      <c r="I1" s="203"/>
      <c r="J1" s="203"/>
      <c r="K1" s="204"/>
      <c r="L1" s="719" t="s">
        <v>709</v>
      </c>
      <c r="M1" s="698"/>
      <c r="N1" s="698"/>
      <c r="O1" s="698"/>
      <c r="P1" s="698"/>
      <c r="Q1" s="698"/>
      <c r="R1" s="698"/>
      <c r="S1" s="698"/>
      <c r="T1" s="698"/>
      <c r="U1" s="698"/>
      <c r="V1" s="698"/>
      <c r="W1" s="698"/>
      <c r="X1" s="698"/>
      <c r="Y1" s="698"/>
      <c r="Z1" s="698"/>
      <c r="AA1" s="698"/>
      <c r="AB1" s="698"/>
      <c r="AC1" s="698"/>
      <c r="AD1" s="722" t="s">
        <v>1273</v>
      </c>
      <c r="AE1" s="700"/>
      <c r="AF1" s="700"/>
      <c r="AG1" s="701"/>
      <c r="AH1" s="719" t="s">
        <v>733</v>
      </c>
      <c r="AI1" s="698"/>
      <c r="AJ1" s="698"/>
      <c r="AK1" s="698"/>
      <c r="AL1" s="698"/>
      <c r="AM1" s="698"/>
      <c r="AN1" s="698"/>
      <c r="AO1" s="698"/>
      <c r="AP1" s="698"/>
      <c r="AQ1" s="698"/>
      <c r="AR1" s="698"/>
      <c r="AS1" s="698"/>
      <c r="AT1" s="698"/>
      <c r="AU1" s="698"/>
      <c r="AV1" s="698"/>
      <c r="AW1" s="698"/>
      <c r="AX1" s="698"/>
      <c r="AY1" s="698"/>
      <c r="AZ1" s="722" t="s">
        <v>1274</v>
      </c>
      <c r="BA1" s="700"/>
      <c r="BB1" s="700"/>
      <c r="BC1" s="700"/>
      <c r="BD1" s="517"/>
      <c r="BE1" s="667" t="s">
        <v>1114</v>
      </c>
      <c r="BF1" s="668"/>
      <c r="BG1" s="668"/>
      <c r="BH1" s="668"/>
      <c r="BI1" s="668"/>
      <c r="BJ1" s="16"/>
      <c r="BK1" s="17"/>
      <c r="BL1" s="17"/>
      <c r="BM1" s="17"/>
      <c r="BN1" s="18"/>
      <c r="BO1" s="19"/>
      <c r="BP1" s="19"/>
      <c r="BQ1" s="19"/>
      <c r="BR1" s="20"/>
      <c r="BS1" s="720" t="s">
        <v>66</v>
      </c>
      <c r="BT1" s="721"/>
      <c r="BU1" s="721"/>
      <c r="BV1" s="721"/>
      <c r="BW1" s="721"/>
      <c r="BX1" s="21"/>
      <c r="BY1" s="21"/>
      <c r="BZ1" s="22"/>
    </row>
    <row r="2" spans="1:248" s="111" customFormat="1" ht="115.8" thickBot="1" x14ac:dyDescent="0.35">
      <c r="A2" s="520" t="s">
        <v>0</v>
      </c>
      <c r="B2" s="111" t="s">
        <v>1</v>
      </c>
      <c r="C2" s="111" t="s">
        <v>2</v>
      </c>
      <c r="D2" s="111" t="s">
        <v>3</v>
      </c>
      <c r="E2" s="521" t="s">
        <v>357</v>
      </c>
      <c r="F2" s="522" t="s">
        <v>713</v>
      </c>
      <c r="G2" s="523" t="s">
        <v>352</v>
      </c>
      <c r="H2" s="522" t="s">
        <v>355</v>
      </c>
      <c r="I2" s="524" t="s">
        <v>354</v>
      </c>
      <c r="J2" s="524" t="s">
        <v>696</v>
      </c>
      <c r="K2" s="525" t="s">
        <v>894</v>
      </c>
      <c r="L2" s="526" t="s">
        <v>712</v>
      </c>
      <c r="M2" s="526" t="s">
        <v>5</v>
      </c>
      <c r="N2" s="526" t="s">
        <v>6</v>
      </c>
      <c r="O2" s="478" t="s">
        <v>711</v>
      </c>
      <c r="P2" s="478" t="s">
        <v>5</v>
      </c>
      <c r="Q2" s="478" t="s">
        <v>6</v>
      </c>
      <c r="R2" s="479" t="s">
        <v>710</v>
      </c>
      <c r="S2" s="479" t="s">
        <v>5</v>
      </c>
      <c r="T2" s="479" t="s">
        <v>6</v>
      </c>
      <c r="U2" s="527" t="s">
        <v>9</v>
      </c>
      <c r="V2" s="527" t="s">
        <v>5</v>
      </c>
      <c r="W2" s="527" t="s">
        <v>6</v>
      </c>
      <c r="X2" s="108" t="s">
        <v>731</v>
      </c>
      <c r="Y2" s="108" t="s">
        <v>5</v>
      </c>
      <c r="Z2" s="108" t="s">
        <v>11</v>
      </c>
      <c r="AA2" s="108" t="s">
        <v>732</v>
      </c>
      <c r="AB2" s="108" t="s">
        <v>5</v>
      </c>
      <c r="AC2" s="108" t="s">
        <v>6</v>
      </c>
      <c r="AD2" s="528" t="s">
        <v>71</v>
      </c>
      <c r="AE2" s="529" t="s">
        <v>72</v>
      </c>
      <c r="AF2" s="529" t="s">
        <v>73</v>
      </c>
      <c r="AG2" s="530" t="s">
        <v>74</v>
      </c>
      <c r="AH2" s="526" t="s">
        <v>712</v>
      </c>
      <c r="AI2" s="526" t="s">
        <v>5</v>
      </c>
      <c r="AJ2" s="526" t="s">
        <v>6</v>
      </c>
      <c r="AK2" s="478" t="s">
        <v>711</v>
      </c>
      <c r="AL2" s="478" t="s">
        <v>5</v>
      </c>
      <c r="AM2" s="478" t="s">
        <v>6</v>
      </c>
      <c r="AN2" s="479" t="s">
        <v>710</v>
      </c>
      <c r="AO2" s="479" t="s">
        <v>5</v>
      </c>
      <c r="AP2" s="479" t="s">
        <v>6</v>
      </c>
      <c r="AQ2" s="527" t="s">
        <v>9</v>
      </c>
      <c r="AR2" s="527" t="s">
        <v>5</v>
      </c>
      <c r="AS2" s="527" t="s">
        <v>6</v>
      </c>
      <c r="AT2" s="108" t="s">
        <v>10</v>
      </c>
      <c r="AU2" s="108" t="s">
        <v>5</v>
      </c>
      <c r="AV2" s="108" t="s">
        <v>11</v>
      </c>
      <c r="AW2" s="108" t="s">
        <v>12</v>
      </c>
      <c r="AX2" s="108" t="s">
        <v>5</v>
      </c>
      <c r="AY2" s="108" t="s">
        <v>6</v>
      </c>
      <c r="AZ2" s="531" t="s">
        <v>67</v>
      </c>
      <c r="BA2" s="532" t="s">
        <v>68</v>
      </c>
      <c r="BB2" s="532" t="s">
        <v>69</v>
      </c>
      <c r="BC2" s="533" t="s">
        <v>70</v>
      </c>
      <c r="BD2" s="534" t="s">
        <v>694</v>
      </c>
      <c r="BE2" s="138" t="s">
        <v>75</v>
      </c>
      <c r="BF2" s="138" t="s">
        <v>76</v>
      </c>
      <c r="BG2" s="138" t="s">
        <v>77</v>
      </c>
      <c r="BH2" s="138" t="s">
        <v>78</v>
      </c>
      <c r="BI2" s="138" t="s">
        <v>79</v>
      </c>
      <c r="BJ2" s="535" t="s">
        <v>80</v>
      </c>
      <c r="BK2" s="532" t="s">
        <v>67</v>
      </c>
      <c r="BL2" s="532" t="s">
        <v>68</v>
      </c>
      <c r="BM2" s="532" t="s">
        <v>69</v>
      </c>
      <c r="BN2" s="533" t="s">
        <v>70</v>
      </c>
      <c r="BO2" s="536" t="s">
        <v>71</v>
      </c>
      <c r="BP2" s="536" t="s">
        <v>72</v>
      </c>
      <c r="BQ2" s="536" t="s">
        <v>73</v>
      </c>
      <c r="BR2" s="537" t="s">
        <v>74</v>
      </c>
      <c r="BS2" s="538" t="s">
        <v>13</v>
      </c>
      <c r="BT2" s="535" t="s">
        <v>81</v>
      </c>
      <c r="BU2" s="535" t="s">
        <v>82</v>
      </c>
      <c r="BV2" s="535" t="s">
        <v>83</v>
      </c>
      <c r="BW2" s="539" t="s">
        <v>84</v>
      </c>
      <c r="BX2" s="539" t="s">
        <v>85</v>
      </c>
      <c r="BY2" s="539" t="s">
        <v>86</v>
      </c>
      <c r="BZ2" s="540" t="s">
        <v>87</v>
      </c>
    </row>
    <row r="3" spans="1:248" s="14" customFormat="1" ht="14.4" customHeight="1" x14ac:dyDescent="0.3">
      <c r="A3" s="13" t="s">
        <v>88</v>
      </c>
      <c r="B3" s="14" t="s">
        <v>89</v>
      </c>
      <c r="C3" s="14" t="s">
        <v>90</v>
      </c>
      <c r="D3" s="545" t="s">
        <v>91</v>
      </c>
      <c r="E3" s="201" t="s">
        <v>186</v>
      </c>
      <c r="F3" s="202" t="s">
        <v>697</v>
      </c>
      <c r="G3" s="202" t="s">
        <v>211</v>
      </c>
      <c r="H3" s="202"/>
      <c r="I3" s="546" t="s">
        <v>188</v>
      </c>
      <c r="J3" s="546"/>
      <c r="K3" s="204">
        <v>1</v>
      </c>
      <c r="L3" s="293">
        <v>-7.7951012306511842</v>
      </c>
      <c r="M3" s="293">
        <v>-14.627364097238427</v>
      </c>
      <c r="N3" s="293">
        <v>-3.0721689879739813</v>
      </c>
      <c r="O3" s="293">
        <v>-10.809962983897606</v>
      </c>
      <c r="P3" s="293">
        <v>-23.661484181617652</v>
      </c>
      <c r="Q3" s="293">
        <v>-3.4742813391047918</v>
      </c>
      <c r="R3" s="293">
        <v>-8.2405739084080949</v>
      </c>
      <c r="S3" s="293">
        <v>-21.042398732913668</v>
      </c>
      <c r="T3" s="293">
        <v>-1.4133480493944433</v>
      </c>
      <c r="U3" s="547">
        <v>0</v>
      </c>
      <c r="V3" s="547">
        <v>0</v>
      </c>
      <c r="W3" s="547">
        <v>0</v>
      </c>
      <c r="X3" s="547">
        <v>-2.4285714285714306</v>
      </c>
      <c r="Y3" s="547">
        <v>-13.410430839002274</v>
      </c>
      <c r="Z3" s="547">
        <v>1.1179138321995481</v>
      </c>
      <c r="AA3" s="547">
        <v>-5.4285714285714306</v>
      </c>
      <c r="AB3" s="547">
        <v>-17.904761904761912</v>
      </c>
      <c r="AC3" s="547">
        <v>0.66666666666665719</v>
      </c>
      <c r="AD3" s="548">
        <v>56.198900287450769</v>
      </c>
      <c r="AE3" s="549">
        <v>27.607769853003571</v>
      </c>
      <c r="AF3" s="549">
        <v>16.193329859545656</v>
      </c>
      <c r="AG3" s="550">
        <v>43.801099712549231</v>
      </c>
      <c r="AH3" s="14">
        <v>-6.6396605634231918</v>
      </c>
      <c r="AI3" s="14">
        <v>-11.965177469739061</v>
      </c>
      <c r="AJ3" s="14">
        <v>-2.6495237934954048</v>
      </c>
      <c r="AK3" s="14">
        <v>-9.5450595166164192</v>
      </c>
      <c r="AL3" s="14">
        <v>-21.932519311558906</v>
      </c>
      <c r="AM3" s="14">
        <v>-2.6589941369658021</v>
      </c>
      <c r="AN3" s="14">
        <v>-7.8513728415523616</v>
      </c>
      <c r="AO3" s="14">
        <v>-20.615211042323324</v>
      </c>
      <c r="AP3" s="14">
        <v>-1.1325195835250526</v>
      </c>
      <c r="AQ3" s="547">
        <v>0</v>
      </c>
      <c r="AR3" s="547">
        <v>0</v>
      </c>
      <c r="AS3" s="547">
        <v>0</v>
      </c>
      <c r="AT3" s="547">
        <v>-2.4285714285714306</v>
      </c>
      <c r="AU3" s="547">
        <v>-13.410430839002274</v>
      </c>
      <c r="AV3" s="547">
        <v>1.1179138321995481</v>
      </c>
      <c r="AW3" s="547">
        <v>-5.4285714285714306</v>
      </c>
      <c r="AX3" s="547">
        <v>-17.904761904761912</v>
      </c>
      <c r="AY3" s="547">
        <v>0.66666666666665719</v>
      </c>
      <c r="AZ3" s="551">
        <v>64.7126736249202</v>
      </c>
      <c r="BA3" s="390">
        <v>19.09399651553414</v>
      </c>
      <c r="BB3" s="390">
        <v>16.193329859545656</v>
      </c>
      <c r="BC3" s="299">
        <v>35.2873263750798</v>
      </c>
      <c r="BD3" s="517" t="s">
        <v>92</v>
      </c>
      <c r="BE3" s="438">
        <v>1.0912645519999999</v>
      </c>
      <c r="BF3" s="438">
        <v>8.420865547</v>
      </c>
      <c r="BG3" s="438">
        <v>18.885630500000001</v>
      </c>
      <c r="BH3" s="438">
        <v>13.87230072</v>
      </c>
      <c r="BI3" s="438">
        <v>2.1443170710000001</v>
      </c>
      <c r="BJ3" s="552">
        <v>98.908735448000002</v>
      </c>
      <c r="BK3" s="299">
        <v>64.7126736249202</v>
      </c>
      <c r="BL3" s="299">
        <v>19.09399651553414</v>
      </c>
      <c r="BM3" s="299">
        <v>16.193329859545656</v>
      </c>
      <c r="BN3" s="390">
        <v>35.2873263750798</v>
      </c>
      <c r="BO3" s="438">
        <v>36.715577103917475</v>
      </c>
      <c r="BP3" s="438">
        <v>27.607769853003571</v>
      </c>
      <c r="BQ3" s="438">
        <v>35.67665304307895</v>
      </c>
      <c r="BR3" s="553">
        <v>63.284422896082518</v>
      </c>
      <c r="BS3" s="554"/>
      <c r="BT3" s="555"/>
      <c r="BU3" s="555"/>
      <c r="BV3" s="555"/>
      <c r="BW3" s="555"/>
      <c r="BZ3" s="15"/>
      <c r="IN3" s="556"/>
    </row>
    <row r="4" spans="1:248" s="41" customFormat="1" ht="14.4" customHeight="1" x14ac:dyDescent="0.3">
      <c r="A4" s="23" t="s">
        <v>88</v>
      </c>
      <c r="B4" s="41" t="s">
        <v>89</v>
      </c>
      <c r="C4" s="41" t="s">
        <v>93</v>
      </c>
      <c r="D4" s="511" t="s">
        <v>94</v>
      </c>
      <c r="E4" s="205" t="s">
        <v>200</v>
      </c>
      <c r="F4" s="128" t="s">
        <v>698</v>
      </c>
      <c r="G4" s="128" t="s">
        <v>211</v>
      </c>
      <c r="H4" s="128"/>
      <c r="I4" s="126" t="s">
        <v>201</v>
      </c>
      <c r="J4" s="126"/>
      <c r="K4" s="184">
        <v>2</v>
      </c>
      <c r="L4" s="146">
        <v>-19.416634570785718</v>
      </c>
      <c r="M4" s="146">
        <v>-37.791933768467459</v>
      </c>
      <c r="N4" s="146">
        <v>-8.4798744363976226</v>
      </c>
      <c r="O4" s="146">
        <v>-25.416673729964288</v>
      </c>
      <c r="P4" s="146">
        <v>-43.030560024883961</v>
      </c>
      <c r="Q4" s="146">
        <v>-8.0603368191162588</v>
      </c>
      <c r="R4" s="146">
        <v>-14.176070164389998</v>
      </c>
      <c r="S4" s="146">
        <v>-31.595870924620002</v>
      </c>
      <c r="T4" s="146">
        <v>-3.6954973839962264</v>
      </c>
      <c r="U4" s="109">
        <v>0</v>
      </c>
      <c r="V4" s="109">
        <v>0</v>
      </c>
      <c r="W4" s="109">
        <v>0</v>
      </c>
      <c r="X4" s="109">
        <v>-5</v>
      </c>
      <c r="Y4" s="109">
        <v>-16.793517406962792</v>
      </c>
      <c r="Z4" s="109">
        <v>3.6994797919167723</v>
      </c>
      <c r="AA4" s="109">
        <v>-6.7142857142857082</v>
      </c>
      <c r="AB4" s="109">
        <v>-21.013205282112835</v>
      </c>
      <c r="AC4" s="109">
        <v>0.47405628918234299</v>
      </c>
      <c r="AD4" s="122">
        <v>2.3756224590000001</v>
      </c>
      <c r="AE4" s="116">
        <v>26.488190420000002</v>
      </c>
      <c r="AF4" s="116">
        <v>71.136187129999996</v>
      </c>
      <c r="AG4" s="123">
        <v>97.624377549999991</v>
      </c>
      <c r="AH4" s="41">
        <v>-19.416634570785718</v>
      </c>
      <c r="AI4" s="41">
        <v>-37.791933768467459</v>
      </c>
      <c r="AJ4" s="41">
        <v>-8.4798744363976226</v>
      </c>
      <c r="AK4" s="41">
        <v>-25.416673729964288</v>
      </c>
      <c r="AL4" s="41">
        <v>-43.030560024883961</v>
      </c>
      <c r="AM4" s="41">
        <v>-8.0603368191162588</v>
      </c>
      <c r="AN4" s="41">
        <v>-14.176070164389998</v>
      </c>
      <c r="AO4" s="41">
        <v>-31.595870924620002</v>
      </c>
      <c r="AP4" s="41">
        <v>-3.6954973839962264</v>
      </c>
      <c r="AQ4" s="109">
        <v>0</v>
      </c>
      <c r="AR4" s="109">
        <v>0</v>
      </c>
      <c r="AS4" s="109">
        <v>0</v>
      </c>
      <c r="AT4" s="109">
        <v>-5</v>
      </c>
      <c r="AU4" s="109">
        <v>-16.793517406962792</v>
      </c>
      <c r="AV4" s="109">
        <v>3.6994797919167723</v>
      </c>
      <c r="AW4" s="109">
        <v>-6.7142857142857082</v>
      </c>
      <c r="AX4" s="109">
        <v>-21.013205282112835</v>
      </c>
      <c r="AY4" s="109">
        <v>0.47405628918234299</v>
      </c>
      <c r="AZ4" s="118">
        <v>2.3756224590000001</v>
      </c>
      <c r="BA4" s="114">
        <v>26.488190420000002</v>
      </c>
      <c r="BB4" s="114">
        <v>71.136187129999996</v>
      </c>
      <c r="BC4" s="115">
        <v>97.624377549999991</v>
      </c>
      <c r="BD4" s="518" t="s">
        <v>95</v>
      </c>
      <c r="BJ4" s="63"/>
      <c r="BK4" s="77"/>
      <c r="BL4" s="77"/>
      <c r="BM4" s="77"/>
      <c r="BN4" s="60"/>
      <c r="BO4" s="77"/>
      <c r="BP4" s="77"/>
      <c r="BQ4" s="77"/>
      <c r="BR4" s="27"/>
      <c r="BS4" s="26">
        <v>2.3756224590000001</v>
      </c>
      <c r="BT4" s="77">
        <v>15.149161680000001</v>
      </c>
      <c r="BU4" s="77">
        <v>11.33902874</v>
      </c>
      <c r="BV4" s="77">
        <v>71.136187129999996</v>
      </c>
      <c r="BW4" s="114">
        <v>2.3756224590000001</v>
      </c>
      <c r="BX4" s="114">
        <v>26.488190420000002</v>
      </c>
      <c r="BY4" s="114">
        <v>71.136187129999996</v>
      </c>
      <c r="BZ4" s="32">
        <v>97.624377549999991</v>
      </c>
    </row>
    <row r="5" spans="1:248" s="41" customFormat="1" ht="14.4" customHeight="1" x14ac:dyDescent="0.3">
      <c r="A5" s="23" t="s">
        <v>88</v>
      </c>
      <c r="B5" s="41" t="s">
        <v>89</v>
      </c>
      <c r="C5" s="41" t="s">
        <v>143</v>
      </c>
      <c r="D5" s="511" t="s">
        <v>144</v>
      </c>
      <c r="E5" s="205" t="s">
        <v>200</v>
      </c>
      <c r="F5" s="128" t="s">
        <v>698</v>
      </c>
      <c r="G5" s="128" t="s">
        <v>211</v>
      </c>
      <c r="H5" s="128"/>
      <c r="I5" s="136" t="s">
        <v>201</v>
      </c>
      <c r="J5" s="136"/>
      <c r="K5" s="184"/>
      <c r="L5" s="109"/>
      <c r="M5" s="109"/>
      <c r="N5" s="109"/>
      <c r="O5" s="110"/>
      <c r="P5" s="110"/>
      <c r="Q5" s="110"/>
      <c r="R5" s="110"/>
      <c r="S5" s="110"/>
      <c r="T5" s="110"/>
      <c r="U5" s="110"/>
      <c r="V5" s="110"/>
      <c r="W5" s="110"/>
      <c r="X5" s="110"/>
      <c r="Y5" s="110"/>
      <c r="Z5" s="110"/>
      <c r="AA5" s="110"/>
      <c r="AB5" s="110"/>
      <c r="AC5" s="110"/>
      <c r="AD5" s="120">
        <v>83.627608346312925</v>
      </c>
      <c r="AE5" s="113">
        <v>7.133939718517265</v>
      </c>
      <c r="AF5" s="113">
        <v>9.2384519351698042</v>
      </c>
      <c r="AG5" s="121">
        <v>16.372391653687068</v>
      </c>
      <c r="AK5" s="110"/>
      <c r="AL5" s="110"/>
      <c r="AM5" s="110"/>
      <c r="AN5" s="110"/>
      <c r="AO5" s="110"/>
      <c r="AP5" s="110"/>
      <c r="AQ5" s="110"/>
      <c r="AR5" s="110"/>
      <c r="AS5" s="110"/>
      <c r="AT5" s="110"/>
      <c r="AU5" s="110"/>
      <c r="AV5" s="110"/>
      <c r="AW5" s="110"/>
      <c r="AX5" s="110"/>
      <c r="AY5" s="110"/>
      <c r="AZ5" s="117">
        <v>85.46459782419619</v>
      </c>
      <c r="BA5" s="60">
        <v>5.296950240634005</v>
      </c>
      <c r="BB5" s="60">
        <v>9.2384519351698042</v>
      </c>
      <c r="BC5" s="59">
        <v>14.53540217580381</v>
      </c>
      <c r="BD5" s="518" t="s">
        <v>92</v>
      </c>
      <c r="BE5" s="77">
        <v>1.7831669000000001E-2</v>
      </c>
      <c r="BF5" s="77">
        <v>1.8366619120000001</v>
      </c>
      <c r="BG5" s="77">
        <v>5.2960057059999999</v>
      </c>
      <c r="BH5" s="77">
        <v>3.72681883</v>
      </c>
      <c r="BI5" s="77">
        <v>5.5099857349999999</v>
      </c>
      <c r="BJ5" s="70">
        <v>99.982168330999997</v>
      </c>
      <c r="BK5" s="59">
        <v>85.46459782419619</v>
      </c>
      <c r="BL5" s="59">
        <v>5.296950240634005</v>
      </c>
      <c r="BM5" s="59">
        <v>9.2384519351698042</v>
      </c>
      <c r="BN5" s="60">
        <v>14.53540217580381</v>
      </c>
      <c r="BO5" s="77">
        <v>78.328065738612793</v>
      </c>
      <c r="BP5" s="77">
        <v>7.133939718517265</v>
      </c>
      <c r="BQ5" s="77">
        <v>14.537994542869933</v>
      </c>
      <c r="BR5" s="27">
        <v>21.6719342613872</v>
      </c>
      <c r="BS5" s="28"/>
      <c r="BT5" s="557"/>
      <c r="BU5" s="557"/>
      <c r="BV5" s="557"/>
      <c r="BW5" s="557"/>
      <c r="BZ5" s="29"/>
    </row>
    <row r="6" spans="1:248" s="41" customFormat="1" ht="14.4" customHeight="1" x14ac:dyDescent="0.3">
      <c r="A6" s="23" t="s">
        <v>88</v>
      </c>
      <c r="B6" s="41" t="s">
        <v>89</v>
      </c>
      <c r="C6" s="41" t="s">
        <v>96</v>
      </c>
      <c r="D6" s="511" t="s">
        <v>97</v>
      </c>
      <c r="E6" s="205" t="s">
        <v>200</v>
      </c>
      <c r="F6" s="128" t="s">
        <v>698</v>
      </c>
      <c r="G6" s="128" t="s">
        <v>211</v>
      </c>
      <c r="H6" s="128"/>
      <c r="I6" s="126" t="s">
        <v>201</v>
      </c>
      <c r="J6" s="126"/>
      <c r="K6" s="184">
        <v>3</v>
      </c>
      <c r="L6" s="146">
        <v>-44.326530610142854</v>
      </c>
      <c r="M6" s="146">
        <v>-58.095009430780699</v>
      </c>
      <c r="N6" s="146">
        <v>-27.505630820961727</v>
      </c>
      <c r="O6" s="146">
        <v>-56.22448979431428</v>
      </c>
      <c r="P6" s="146">
        <v>-73.155093245170008</v>
      </c>
      <c r="Q6" s="146">
        <v>-33.171410979409728</v>
      </c>
      <c r="R6" s="146">
        <v>-41.469387752885709</v>
      </c>
      <c r="S6" s="146">
        <v>-60.748783321427808</v>
      </c>
      <c r="T6" s="146">
        <v>-21.817191635519251</v>
      </c>
      <c r="U6" s="109">
        <v>0</v>
      </c>
      <c r="V6" s="109">
        <v>0</v>
      </c>
      <c r="W6" s="109">
        <v>0</v>
      </c>
      <c r="X6" s="109">
        <v>-1.7142857142857082</v>
      </c>
      <c r="Y6" s="109">
        <v>-14.419501133786838</v>
      </c>
      <c r="Z6" s="109">
        <v>-0.11111111111110006</v>
      </c>
      <c r="AA6" s="109">
        <v>-6.2857142857142918</v>
      </c>
      <c r="AB6" s="109">
        <v>-22.873015873015873</v>
      </c>
      <c r="AC6" s="109">
        <v>-0.55555555555555713</v>
      </c>
      <c r="AD6" s="122">
        <v>0</v>
      </c>
      <c r="AE6" s="116">
        <v>5.7142857140000007</v>
      </c>
      <c r="AF6" s="116">
        <v>94.285714290000001</v>
      </c>
      <c r="AG6" s="123">
        <v>100.000000004</v>
      </c>
      <c r="AH6" s="41">
        <v>-44.326530610142854</v>
      </c>
      <c r="AI6" s="41">
        <v>-58.095009430780699</v>
      </c>
      <c r="AJ6" s="41">
        <v>-27.505630820961727</v>
      </c>
      <c r="AK6" s="41">
        <v>-56.22448979431428</v>
      </c>
      <c r="AL6" s="41">
        <v>-73.155093245170008</v>
      </c>
      <c r="AM6" s="41">
        <v>-33.171410979409728</v>
      </c>
      <c r="AN6" s="41">
        <v>-41.469387752885709</v>
      </c>
      <c r="AO6" s="41">
        <v>-60.748783321427808</v>
      </c>
      <c r="AP6" s="41">
        <v>-21.817191635519251</v>
      </c>
      <c r="AQ6" s="109">
        <v>0</v>
      </c>
      <c r="AR6" s="109">
        <v>0</v>
      </c>
      <c r="AS6" s="109">
        <v>0</v>
      </c>
      <c r="AT6" s="109">
        <v>-1.7142857142857082</v>
      </c>
      <c r="AU6" s="109">
        <v>-14.419501133786838</v>
      </c>
      <c r="AV6" s="109">
        <v>-0.11111111111110006</v>
      </c>
      <c r="AW6" s="109">
        <v>-6.2857142857142918</v>
      </c>
      <c r="AX6" s="109">
        <v>-22.873015873015873</v>
      </c>
      <c r="AY6" s="109">
        <v>-0.55555555555555713</v>
      </c>
      <c r="AZ6" s="118">
        <v>0</v>
      </c>
      <c r="BA6" s="114">
        <v>5.7142857140000007</v>
      </c>
      <c r="BB6" s="114">
        <v>94.285714290000001</v>
      </c>
      <c r="BC6" s="115">
        <v>100.000000004</v>
      </c>
      <c r="BD6" s="518" t="s">
        <v>95</v>
      </c>
      <c r="BJ6" s="63"/>
      <c r="BK6" s="77"/>
      <c r="BL6" s="77"/>
      <c r="BM6" s="77"/>
      <c r="BN6" s="60"/>
      <c r="BO6" s="77"/>
      <c r="BP6" s="77"/>
      <c r="BQ6" s="77"/>
      <c r="BR6" s="27"/>
      <c r="BS6" s="26">
        <v>0</v>
      </c>
      <c r="BT6" s="77">
        <v>4.7802197800000004</v>
      </c>
      <c r="BU6" s="77">
        <v>0.93406593400000004</v>
      </c>
      <c r="BV6" s="77">
        <v>94.285714290000001</v>
      </c>
      <c r="BW6" s="114">
        <v>0</v>
      </c>
      <c r="BX6" s="114">
        <v>5.7142857140000007</v>
      </c>
      <c r="BY6" s="114">
        <v>94.285714290000001</v>
      </c>
      <c r="BZ6" s="32">
        <v>100.000000004</v>
      </c>
    </row>
    <row r="7" spans="1:248" s="41" customFormat="1" ht="14.4" customHeight="1" x14ac:dyDescent="0.3">
      <c r="A7" s="23" t="s">
        <v>88</v>
      </c>
      <c r="B7" s="41" t="s">
        <v>89</v>
      </c>
      <c r="C7" s="41" t="s">
        <v>98</v>
      </c>
      <c r="D7" s="511" t="s">
        <v>99</v>
      </c>
      <c r="E7" s="205" t="s">
        <v>200</v>
      </c>
      <c r="F7" s="128" t="s">
        <v>698</v>
      </c>
      <c r="G7" s="128" t="s">
        <v>211</v>
      </c>
      <c r="H7" s="128"/>
      <c r="I7" s="126" t="s">
        <v>201</v>
      </c>
      <c r="J7" s="126"/>
      <c r="K7" s="184">
        <v>4</v>
      </c>
      <c r="L7" s="146">
        <v>-9.8188625865428492</v>
      </c>
      <c r="M7" s="146">
        <v>-16.198260111705281</v>
      </c>
      <c r="N7" s="146">
        <v>-5.1966720700334861</v>
      </c>
      <c r="O7" s="146">
        <v>-14.985191521277144</v>
      </c>
      <c r="P7" s="146">
        <v>-27.666546339975184</v>
      </c>
      <c r="Q7" s="146">
        <v>-6.5020274945670735</v>
      </c>
      <c r="R7" s="146">
        <v>-14.50212870348571</v>
      </c>
      <c r="S7" s="146">
        <v>-31.81357251484846</v>
      </c>
      <c r="T7" s="146">
        <v>-5.881424610805567</v>
      </c>
      <c r="U7" s="109">
        <v>0</v>
      </c>
      <c r="V7" s="109">
        <v>0</v>
      </c>
      <c r="W7" s="109">
        <v>0</v>
      </c>
      <c r="X7" s="109">
        <v>-3.8571428571428612</v>
      </c>
      <c r="Y7" s="109">
        <v>-15.590636254501803</v>
      </c>
      <c r="Z7" s="109">
        <v>-0.19394424436441682</v>
      </c>
      <c r="AA7" s="109">
        <v>-7.4285714285714306</v>
      </c>
      <c r="AB7" s="109">
        <v>-24.955182072829132</v>
      </c>
      <c r="AC7" s="109">
        <v>-1.8216619981325834</v>
      </c>
      <c r="AD7" s="122">
        <v>66.896918170000006</v>
      </c>
      <c r="AE7" s="116">
        <v>8.7118236839999987</v>
      </c>
      <c r="AF7" s="116">
        <v>24.391258140000001</v>
      </c>
      <c r="AG7" s="123">
        <v>33.103081824</v>
      </c>
      <c r="AH7" s="41">
        <v>-9.8188625865428492</v>
      </c>
      <c r="AI7" s="41">
        <v>-16.198260111705281</v>
      </c>
      <c r="AJ7" s="41">
        <v>-5.1966720700334861</v>
      </c>
      <c r="AK7" s="41">
        <v>-14.985191521277144</v>
      </c>
      <c r="AL7" s="41">
        <v>-27.666546339975184</v>
      </c>
      <c r="AM7" s="41">
        <v>-6.5020274945670735</v>
      </c>
      <c r="AN7" s="41">
        <v>-14.50212870348571</v>
      </c>
      <c r="AO7" s="41">
        <v>-31.81357251484846</v>
      </c>
      <c r="AP7" s="41">
        <v>-5.881424610805567</v>
      </c>
      <c r="AQ7" s="109">
        <v>0</v>
      </c>
      <c r="AR7" s="109">
        <v>0</v>
      </c>
      <c r="AS7" s="109">
        <v>0</v>
      </c>
      <c r="AT7" s="109">
        <v>-3.8571428571428612</v>
      </c>
      <c r="AU7" s="109">
        <v>-15.590636254501803</v>
      </c>
      <c r="AV7" s="109">
        <v>-0.19394424436441682</v>
      </c>
      <c r="AW7" s="109">
        <v>-7.4285714285714306</v>
      </c>
      <c r="AX7" s="109">
        <v>-24.955182072829132</v>
      </c>
      <c r="AY7" s="109">
        <v>-1.8216619981325834</v>
      </c>
      <c r="AZ7" s="118">
        <v>66.896918170000006</v>
      </c>
      <c r="BA7" s="114">
        <v>8.7118236839999987</v>
      </c>
      <c r="BB7" s="114">
        <v>24.391258140000001</v>
      </c>
      <c r="BC7" s="115">
        <v>33.103081824</v>
      </c>
      <c r="BD7" s="518" t="s">
        <v>95</v>
      </c>
      <c r="BJ7" s="63"/>
      <c r="BK7" s="77"/>
      <c r="BL7" s="77"/>
      <c r="BM7" s="77"/>
      <c r="BN7" s="60"/>
      <c r="BO7" s="77"/>
      <c r="BP7" s="77"/>
      <c r="BQ7" s="77"/>
      <c r="BR7" s="27"/>
      <c r="BS7" s="26">
        <v>66.896918170000006</v>
      </c>
      <c r="BT7" s="77">
        <v>3.1927181999999998</v>
      </c>
      <c r="BU7" s="77">
        <v>5.5191054839999998</v>
      </c>
      <c r="BV7" s="77">
        <v>24.391258140000001</v>
      </c>
      <c r="BW7" s="114">
        <v>66.896918170000006</v>
      </c>
      <c r="BX7" s="114">
        <v>8.7118236839999987</v>
      </c>
      <c r="BY7" s="114">
        <v>24.391258140000001</v>
      </c>
      <c r="BZ7" s="32">
        <v>33.103081824</v>
      </c>
    </row>
    <row r="8" spans="1:248" s="41" customFormat="1" ht="14.4" customHeight="1" x14ac:dyDescent="0.3">
      <c r="A8" s="23" t="s">
        <v>88</v>
      </c>
      <c r="B8" s="41" t="s">
        <v>89</v>
      </c>
      <c r="C8" s="41" t="s">
        <v>100</v>
      </c>
      <c r="D8" s="511" t="s">
        <v>101</v>
      </c>
      <c r="E8" s="205" t="s">
        <v>200</v>
      </c>
      <c r="F8" s="128" t="s">
        <v>698</v>
      </c>
      <c r="G8" s="128" t="s">
        <v>211</v>
      </c>
      <c r="H8" s="128"/>
      <c r="I8" s="126" t="s">
        <v>201</v>
      </c>
      <c r="J8" s="126"/>
      <c r="K8" s="184">
        <v>5</v>
      </c>
      <c r="L8" s="146">
        <v>-10.73767587495</v>
      </c>
      <c r="M8" s="146">
        <v>-16.890576009980677</v>
      </c>
      <c r="N8" s="146">
        <v>-5.2467303438147468</v>
      </c>
      <c r="O8" s="146">
        <v>-16.652791250977145</v>
      </c>
      <c r="P8" s="146">
        <v>-29.152366983720498</v>
      </c>
      <c r="Q8" s="146">
        <v>-5.9772161593532473</v>
      </c>
      <c r="R8" s="146">
        <v>-11.95879967614286</v>
      </c>
      <c r="S8" s="146">
        <v>-30.193541351484441</v>
      </c>
      <c r="T8" s="146">
        <v>-0.95120969979859638</v>
      </c>
      <c r="U8" s="109">
        <v>0</v>
      </c>
      <c r="V8" s="109">
        <v>0</v>
      </c>
      <c r="W8" s="109">
        <v>0</v>
      </c>
      <c r="X8" s="109">
        <v>-2.5714285714285694</v>
      </c>
      <c r="Y8" s="109">
        <v>-15.370948379351745</v>
      </c>
      <c r="Z8" s="109">
        <v>1.386154461784713</v>
      </c>
      <c r="AA8" s="109">
        <v>-6</v>
      </c>
      <c r="AB8" s="109">
        <v>-25.723889555822325</v>
      </c>
      <c r="AC8" s="109">
        <v>0.29838602107510326</v>
      </c>
      <c r="AD8" s="122">
        <v>59.449302230000001</v>
      </c>
      <c r="AE8" s="116">
        <v>9.1348683390000005</v>
      </c>
      <c r="AF8" s="116">
        <v>31.415829429999999</v>
      </c>
      <c r="AG8" s="123">
        <v>40.550697768999996</v>
      </c>
      <c r="AH8" s="41">
        <v>-10.73767587495</v>
      </c>
      <c r="AI8" s="41">
        <v>-16.890576009980677</v>
      </c>
      <c r="AJ8" s="41">
        <v>-5.2467303438147468</v>
      </c>
      <c r="AK8" s="41">
        <v>-16.652791250977145</v>
      </c>
      <c r="AL8" s="41">
        <v>-29.152366983720498</v>
      </c>
      <c r="AM8" s="41">
        <v>-5.9772161593532473</v>
      </c>
      <c r="AN8" s="41">
        <v>-11.95879967614286</v>
      </c>
      <c r="AO8" s="41">
        <v>-30.193541351484441</v>
      </c>
      <c r="AP8" s="41">
        <v>-0.95120969979859638</v>
      </c>
      <c r="AQ8" s="109">
        <v>0</v>
      </c>
      <c r="AR8" s="109">
        <v>0</v>
      </c>
      <c r="AS8" s="109">
        <v>0</v>
      </c>
      <c r="AT8" s="109">
        <v>-2.5714285714285694</v>
      </c>
      <c r="AU8" s="109">
        <v>-15.370948379351745</v>
      </c>
      <c r="AV8" s="109">
        <v>1.386154461784713</v>
      </c>
      <c r="AW8" s="109">
        <v>-6</v>
      </c>
      <c r="AX8" s="109">
        <v>-25.723889555822325</v>
      </c>
      <c r="AY8" s="109">
        <v>0.29838602107510326</v>
      </c>
      <c r="AZ8" s="118">
        <v>59.449302230000001</v>
      </c>
      <c r="BA8" s="114">
        <v>9.1348683390000005</v>
      </c>
      <c r="BB8" s="114">
        <v>31.415829429999999</v>
      </c>
      <c r="BC8" s="115">
        <v>40.550697768999996</v>
      </c>
      <c r="BD8" s="518" t="s">
        <v>95</v>
      </c>
      <c r="BJ8" s="63"/>
      <c r="BK8" s="77"/>
      <c r="BL8" s="77"/>
      <c r="BM8" s="77"/>
      <c r="BN8" s="60"/>
      <c r="BO8" s="77"/>
      <c r="BP8" s="77"/>
      <c r="BQ8" s="77"/>
      <c r="BR8" s="27"/>
      <c r="BS8" s="26">
        <v>59.449302230000001</v>
      </c>
      <c r="BT8" s="77">
        <v>2.1471700949999999</v>
      </c>
      <c r="BU8" s="77">
        <v>6.9876982439999997</v>
      </c>
      <c r="BV8" s="77">
        <v>31.415829429999999</v>
      </c>
      <c r="BW8" s="114">
        <v>59.449302230000001</v>
      </c>
      <c r="BX8" s="114">
        <v>9.1348683390000005</v>
      </c>
      <c r="BY8" s="114">
        <v>31.415829429999999</v>
      </c>
      <c r="BZ8" s="32">
        <v>40.550697768999996</v>
      </c>
    </row>
    <row r="9" spans="1:248" s="41" customFormat="1" ht="14.4" customHeight="1" x14ac:dyDescent="0.3">
      <c r="A9" s="23" t="s">
        <v>88</v>
      </c>
      <c r="B9" s="41" t="s">
        <v>89</v>
      </c>
      <c r="C9" s="41" t="s">
        <v>102</v>
      </c>
      <c r="D9" s="511" t="s">
        <v>103</v>
      </c>
      <c r="E9" s="205" t="s">
        <v>200</v>
      </c>
      <c r="F9" s="128" t="s">
        <v>699</v>
      </c>
      <c r="G9" s="128" t="s">
        <v>211</v>
      </c>
      <c r="H9" s="128"/>
      <c r="I9" s="126" t="s">
        <v>227</v>
      </c>
      <c r="J9" s="126"/>
      <c r="K9" s="184">
        <v>6</v>
      </c>
      <c r="L9" s="146">
        <v>0</v>
      </c>
      <c r="M9" s="146">
        <v>0</v>
      </c>
      <c r="N9" s="146">
        <v>0</v>
      </c>
      <c r="O9" s="146">
        <v>-10.142857142857139</v>
      </c>
      <c r="P9" s="146">
        <v>-25.539682539682531</v>
      </c>
      <c r="Q9" s="146">
        <v>2.0634920634920633</v>
      </c>
      <c r="R9" s="146">
        <v>-7.8571428571428612</v>
      </c>
      <c r="S9" s="146">
        <v>-31.61904761904762</v>
      </c>
      <c r="T9" s="146">
        <v>9.5238095238087794E-2</v>
      </c>
      <c r="U9" s="109">
        <v>0</v>
      </c>
      <c r="V9" s="109">
        <v>0</v>
      </c>
      <c r="W9" s="109">
        <v>0</v>
      </c>
      <c r="X9" s="109">
        <v>-10.142857142857139</v>
      </c>
      <c r="Y9" s="109">
        <v>-25.539682539682531</v>
      </c>
      <c r="Z9" s="109">
        <v>2.0634920634920633</v>
      </c>
      <c r="AA9" s="109">
        <v>-7.8571428571428612</v>
      </c>
      <c r="AB9" s="109">
        <v>-31.61904761904762</v>
      </c>
      <c r="AC9" s="109">
        <v>9.5238095238087794E-2</v>
      </c>
      <c r="AD9" s="122">
        <v>100</v>
      </c>
      <c r="AE9" s="116">
        <v>0</v>
      </c>
      <c r="AF9" s="116">
        <v>0</v>
      </c>
      <c r="AG9" s="123">
        <v>0</v>
      </c>
      <c r="AH9" s="41">
        <v>0</v>
      </c>
      <c r="AI9" s="41">
        <v>0</v>
      </c>
      <c r="AJ9" s="41">
        <v>0</v>
      </c>
      <c r="AK9" s="41">
        <v>-10.142857142857139</v>
      </c>
      <c r="AL9" s="41">
        <v>-25.539682539682531</v>
      </c>
      <c r="AM9" s="41">
        <v>2.0634920634920633</v>
      </c>
      <c r="AN9" s="41">
        <v>-7.8571428571428612</v>
      </c>
      <c r="AO9" s="41">
        <v>-31.61904761904762</v>
      </c>
      <c r="AP9" s="41">
        <v>9.5238095238087794E-2</v>
      </c>
      <c r="AQ9" s="109">
        <v>0</v>
      </c>
      <c r="AR9" s="109">
        <v>0</v>
      </c>
      <c r="AS9" s="109">
        <v>0</v>
      </c>
      <c r="AT9" s="109">
        <v>-10.142857142857139</v>
      </c>
      <c r="AU9" s="109">
        <v>-25.539682539682531</v>
      </c>
      <c r="AV9" s="109">
        <v>2.0634920634920633</v>
      </c>
      <c r="AW9" s="109">
        <v>-7.8571428571428612</v>
      </c>
      <c r="AX9" s="109">
        <v>-31.61904761904762</v>
      </c>
      <c r="AY9" s="109">
        <v>9.5238095238087794E-2</v>
      </c>
      <c r="AZ9" s="118">
        <v>100</v>
      </c>
      <c r="BA9" s="114">
        <v>0</v>
      </c>
      <c r="BB9" s="114">
        <v>0</v>
      </c>
      <c r="BC9" s="115">
        <v>0</v>
      </c>
      <c r="BD9" s="518" t="s">
        <v>95</v>
      </c>
      <c r="BJ9" s="63"/>
      <c r="BK9" s="77"/>
      <c r="BL9" s="77"/>
      <c r="BM9" s="77"/>
      <c r="BN9" s="60"/>
      <c r="BO9" s="77"/>
      <c r="BP9" s="77"/>
      <c r="BQ9" s="77"/>
      <c r="BR9" s="27"/>
      <c r="BS9" s="26">
        <v>100</v>
      </c>
      <c r="BT9" s="77">
        <v>0</v>
      </c>
      <c r="BU9" s="77">
        <v>0</v>
      </c>
      <c r="BV9" s="77">
        <v>0</v>
      </c>
      <c r="BW9" s="114">
        <v>100</v>
      </c>
      <c r="BX9" s="114">
        <v>0</v>
      </c>
      <c r="BY9" s="114">
        <v>0</v>
      </c>
      <c r="BZ9" s="32">
        <v>0</v>
      </c>
    </row>
    <row r="10" spans="1:248" s="41" customFormat="1" ht="14.4" customHeight="1" x14ac:dyDescent="0.3">
      <c r="A10" s="23" t="s">
        <v>88</v>
      </c>
      <c r="B10" s="41" t="s">
        <v>89</v>
      </c>
      <c r="C10" s="41" t="s">
        <v>145</v>
      </c>
      <c r="D10" s="511" t="s">
        <v>146</v>
      </c>
      <c r="E10" s="205" t="s">
        <v>186</v>
      </c>
      <c r="F10" s="128" t="s">
        <v>700</v>
      </c>
      <c r="G10" s="128" t="s">
        <v>211</v>
      </c>
      <c r="H10" s="128"/>
      <c r="I10" s="136" t="s">
        <v>188</v>
      </c>
      <c r="J10" s="136"/>
      <c r="K10" s="184"/>
      <c r="L10" s="109"/>
      <c r="M10" s="109"/>
      <c r="N10" s="109"/>
      <c r="O10" s="110"/>
      <c r="P10" s="110"/>
      <c r="Q10" s="110"/>
      <c r="R10" s="110"/>
      <c r="S10" s="110"/>
      <c r="T10" s="110"/>
      <c r="U10" s="110"/>
      <c r="V10" s="110"/>
      <c r="W10" s="110"/>
      <c r="X10" s="110"/>
      <c r="Y10" s="110"/>
      <c r="Z10" s="110"/>
      <c r="AA10" s="110"/>
      <c r="AB10" s="110"/>
      <c r="AC10" s="110"/>
      <c r="AD10" s="120">
        <v>73.457333416811181</v>
      </c>
      <c r="AE10" s="113">
        <v>19.810674954114347</v>
      </c>
      <c r="AF10" s="113">
        <v>6.7319916290744759</v>
      </c>
      <c r="AG10" s="121">
        <v>26.542666583188822</v>
      </c>
      <c r="AK10" s="110"/>
      <c r="AL10" s="110"/>
      <c r="AM10" s="110"/>
      <c r="AN10" s="110"/>
      <c r="AO10" s="110"/>
      <c r="AP10" s="110"/>
      <c r="AQ10" s="110"/>
      <c r="AR10" s="110"/>
      <c r="AS10" s="110"/>
      <c r="AT10" s="110"/>
      <c r="AU10" s="110"/>
      <c r="AV10" s="110"/>
      <c r="AW10" s="110"/>
      <c r="AX10" s="110"/>
      <c r="AY10" s="110"/>
      <c r="AZ10" s="117">
        <v>77.953803130174066</v>
      </c>
      <c r="BA10" s="60">
        <v>15.314205240751457</v>
      </c>
      <c r="BB10" s="60">
        <v>6.7319916290744759</v>
      </c>
      <c r="BC10" s="59">
        <v>22.046196869825934</v>
      </c>
      <c r="BD10" s="518" t="s">
        <v>92</v>
      </c>
      <c r="BE10" s="77">
        <v>0.33333333300000001</v>
      </c>
      <c r="BF10" s="77">
        <v>4.4814814810000003</v>
      </c>
      <c r="BG10" s="77">
        <v>15.26315789</v>
      </c>
      <c r="BH10" s="77">
        <v>6.1812865500000003</v>
      </c>
      <c r="BI10" s="77">
        <v>0.52826510699999996</v>
      </c>
      <c r="BJ10" s="70">
        <v>99.666666667000001</v>
      </c>
      <c r="BK10" s="59">
        <v>77.953803130174066</v>
      </c>
      <c r="BL10" s="59">
        <v>15.314205240751457</v>
      </c>
      <c r="BM10" s="59">
        <v>6.7319916290744759</v>
      </c>
      <c r="BN10" s="60">
        <v>22.046196869825934</v>
      </c>
      <c r="BO10" s="77">
        <v>58.069395076234613</v>
      </c>
      <c r="BP10" s="77">
        <v>19.810674954114347</v>
      </c>
      <c r="BQ10" s="77">
        <v>22.119929969651036</v>
      </c>
      <c r="BR10" s="27">
        <v>41.930604923765387</v>
      </c>
      <c r="BS10" s="28"/>
      <c r="BT10" s="557"/>
      <c r="BU10" s="557"/>
      <c r="BV10" s="557"/>
      <c r="BW10" s="557"/>
      <c r="BZ10" s="29"/>
    </row>
    <row r="11" spans="1:248" s="41" customFormat="1" ht="14.4" customHeight="1" x14ac:dyDescent="0.3">
      <c r="A11" s="23" t="s">
        <v>88</v>
      </c>
      <c r="B11" s="41" t="s">
        <v>89</v>
      </c>
      <c r="C11" s="41" t="s">
        <v>104</v>
      </c>
      <c r="D11" s="511" t="s">
        <v>105</v>
      </c>
      <c r="E11" s="205" t="s">
        <v>200</v>
      </c>
      <c r="F11" s="128" t="s">
        <v>698</v>
      </c>
      <c r="G11" s="128" t="s">
        <v>211</v>
      </c>
      <c r="H11" s="128"/>
      <c r="I11" s="126" t="s">
        <v>201</v>
      </c>
      <c r="J11" s="126"/>
      <c r="K11" s="184">
        <v>7</v>
      </c>
      <c r="L11" s="146">
        <v>-26.636263983857134</v>
      </c>
      <c r="M11" s="146">
        <v>-41.129778094637672</v>
      </c>
      <c r="N11" s="146">
        <v>-16.075569518093744</v>
      </c>
      <c r="O11" s="146">
        <v>-38.821681337685717</v>
      </c>
      <c r="P11" s="146">
        <v>-54.618175650114964</v>
      </c>
      <c r="Q11" s="146">
        <v>-17.138866859360689</v>
      </c>
      <c r="R11" s="146">
        <v>-32.658666895428567</v>
      </c>
      <c r="S11" s="146">
        <v>-47.892561606227275</v>
      </c>
      <c r="T11" s="146">
        <v>-14.518878368032389</v>
      </c>
      <c r="U11" s="109">
        <v>0</v>
      </c>
      <c r="V11" s="109">
        <v>0</v>
      </c>
      <c r="W11" s="109">
        <v>0</v>
      </c>
      <c r="X11" s="109">
        <v>-8.8571428571428612</v>
      </c>
      <c r="Y11" s="109">
        <v>-22.467120181405903</v>
      </c>
      <c r="Z11" s="109">
        <v>1.0929705215419432</v>
      </c>
      <c r="AA11" s="109">
        <v>-14</v>
      </c>
      <c r="AB11" s="109">
        <v>-30.277551020408168</v>
      </c>
      <c r="AC11" s="109">
        <v>-4.2208616780045389</v>
      </c>
      <c r="AD11" s="122">
        <v>33.092453249999998</v>
      </c>
      <c r="AE11" s="116">
        <v>14.179641908000001</v>
      </c>
      <c r="AF11" s="116">
        <v>52.727904840000001</v>
      </c>
      <c r="AG11" s="123">
        <v>66.907546748000001</v>
      </c>
      <c r="AH11" s="41">
        <v>-26.636263983857134</v>
      </c>
      <c r="AI11" s="41">
        <v>-41.129778094637672</v>
      </c>
      <c r="AJ11" s="41">
        <v>-16.075569518093744</v>
      </c>
      <c r="AK11" s="41">
        <v>-38.821681337685717</v>
      </c>
      <c r="AL11" s="41">
        <v>-54.618175650114964</v>
      </c>
      <c r="AM11" s="41">
        <v>-17.138866859360689</v>
      </c>
      <c r="AN11" s="41">
        <v>-32.658666895428567</v>
      </c>
      <c r="AO11" s="41">
        <v>-47.892561606227275</v>
      </c>
      <c r="AP11" s="41">
        <v>-14.518878368032389</v>
      </c>
      <c r="AQ11" s="109">
        <v>0</v>
      </c>
      <c r="AR11" s="109">
        <v>0</v>
      </c>
      <c r="AS11" s="109">
        <v>0</v>
      </c>
      <c r="AT11" s="109">
        <v>-8.8571428571428612</v>
      </c>
      <c r="AU11" s="109">
        <v>-22.467120181405903</v>
      </c>
      <c r="AV11" s="109">
        <v>1.0929705215419432</v>
      </c>
      <c r="AW11" s="109">
        <v>-14</v>
      </c>
      <c r="AX11" s="109">
        <v>-30.277551020408168</v>
      </c>
      <c r="AY11" s="109">
        <v>-4.2208616780045389</v>
      </c>
      <c r="AZ11" s="118">
        <v>33.092453249999998</v>
      </c>
      <c r="BA11" s="114">
        <v>14.179641908000001</v>
      </c>
      <c r="BB11" s="114">
        <v>52.727904840000001</v>
      </c>
      <c r="BC11" s="115">
        <v>66.907546748000001</v>
      </c>
      <c r="BD11" s="518" t="s">
        <v>95</v>
      </c>
      <c r="BJ11" s="63"/>
      <c r="BK11" s="77"/>
      <c r="BL11" s="77"/>
      <c r="BM11" s="77"/>
      <c r="BN11" s="60"/>
      <c r="BO11" s="77"/>
      <c r="BP11" s="77"/>
      <c r="BQ11" s="77"/>
      <c r="BR11" s="27"/>
      <c r="BS11" s="26">
        <v>33.092453249999998</v>
      </c>
      <c r="BT11" s="77">
        <v>4.2116764760000001</v>
      </c>
      <c r="BU11" s="77">
        <v>9.9679654319999997</v>
      </c>
      <c r="BV11" s="77">
        <v>52.727904840000001</v>
      </c>
      <c r="BW11" s="114">
        <v>33.092453249999998</v>
      </c>
      <c r="BX11" s="114">
        <v>14.179641908000001</v>
      </c>
      <c r="BY11" s="114">
        <v>52.727904840000001</v>
      </c>
      <c r="BZ11" s="32">
        <v>66.907546748000001</v>
      </c>
    </row>
    <row r="12" spans="1:248" s="41" customFormat="1" ht="14.4" customHeight="1" x14ac:dyDescent="0.3">
      <c r="A12" s="23" t="s">
        <v>88</v>
      </c>
      <c r="B12" s="41" t="s">
        <v>89</v>
      </c>
      <c r="C12" s="41" t="s">
        <v>106</v>
      </c>
      <c r="D12" s="511" t="s">
        <v>107</v>
      </c>
      <c r="E12" s="205" t="s">
        <v>200</v>
      </c>
      <c r="F12" s="128" t="s">
        <v>701</v>
      </c>
      <c r="G12" s="128" t="s">
        <v>211</v>
      </c>
      <c r="H12" s="128"/>
      <c r="I12" s="126" t="s">
        <v>227</v>
      </c>
      <c r="J12" s="126"/>
      <c r="K12" s="184">
        <v>8</v>
      </c>
      <c r="L12" s="146">
        <v>-12.060442632328574</v>
      </c>
      <c r="M12" s="146">
        <v>-18.427159678901077</v>
      </c>
      <c r="N12" s="146">
        <v>-6.6332509422132091</v>
      </c>
      <c r="O12" s="146">
        <v>-28.838035489642863</v>
      </c>
      <c r="P12" s="146">
        <v>-48.154985936965879</v>
      </c>
      <c r="Q12" s="146">
        <v>-10.002881584610549</v>
      </c>
      <c r="R12" s="146">
        <v>-22.180863827157154</v>
      </c>
      <c r="S12" s="146">
        <v>-51.673354742619644</v>
      </c>
      <c r="T12" s="146">
        <v>-5.8992994324093928</v>
      </c>
      <c r="U12" s="109">
        <v>0</v>
      </c>
      <c r="V12" s="109">
        <v>0</v>
      </c>
      <c r="W12" s="109">
        <v>0</v>
      </c>
      <c r="X12" s="109">
        <v>-15.571428571428569</v>
      </c>
      <c r="Y12" s="109">
        <v>-33.725623582766445</v>
      </c>
      <c r="Z12" s="109">
        <v>0.15192743764171723</v>
      </c>
      <c r="AA12" s="109">
        <v>-12.857142857142861</v>
      </c>
      <c r="AB12" s="109">
        <v>-42.673469387755105</v>
      </c>
      <c r="AC12" s="109">
        <v>1.9206349206349103</v>
      </c>
      <c r="AD12" s="122">
        <v>64.663380759999995</v>
      </c>
      <c r="AE12" s="116">
        <v>14.887420186</v>
      </c>
      <c r="AF12" s="116">
        <v>20.449199060000002</v>
      </c>
      <c r="AG12" s="123">
        <v>35.336619245999998</v>
      </c>
      <c r="AH12" s="41">
        <v>-12.060442632328574</v>
      </c>
      <c r="AI12" s="41">
        <v>-18.427159678901077</v>
      </c>
      <c r="AJ12" s="41">
        <v>-6.6332509422132091</v>
      </c>
      <c r="AK12" s="41">
        <v>-28.838035489642863</v>
      </c>
      <c r="AL12" s="41">
        <v>-48.154985936965879</v>
      </c>
      <c r="AM12" s="41">
        <v>-10.002881584610549</v>
      </c>
      <c r="AN12" s="41">
        <v>-22.180863827157154</v>
      </c>
      <c r="AO12" s="41">
        <v>-51.673354742619644</v>
      </c>
      <c r="AP12" s="41">
        <v>-5.8992994324093928</v>
      </c>
      <c r="AQ12" s="109">
        <v>0</v>
      </c>
      <c r="AR12" s="109">
        <v>0</v>
      </c>
      <c r="AS12" s="109">
        <v>0</v>
      </c>
      <c r="AT12" s="109">
        <v>-15.571428571428569</v>
      </c>
      <c r="AU12" s="109">
        <v>-33.725623582766445</v>
      </c>
      <c r="AV12" s="109">
        <v>0.15192743764171723</v>
      </c>
      <c r="AW12" s="109">
        <v>-12.857142857142861</v>
      </c>
      <c r="AX12" s="109">
        <v>-42.673469387755105</v>
      </c>
      <c r="AY12" s="109">
        <v>1.9206349206349103</v>
      </c>
      <c r="AZ12" s="118">
        <v>64.663380759999995</v>
      </c>
      <c r="BA12" s="114">
        <v>14.887420186</v>
      </c>
      <c r="BB12" s="114">
        <v>20.449199060000002</v>
      </c>
      <c r="BC12" s="115">
        <v>35.336619245999998</v>
      </c>
      <c r="BD12" s="518" t="s">
        <v>95</v>
      </c>
      <c r="BJ12" s="63"/>
      <c r="BK12" s="77"/>
      <c r="BL12" s="77"/>
      <c r="BM12" s="77"/>
      <c r="BN12" s="60"/>
      <c r="BO12" s="77"/>
      <c r="BP12" s="77"/>
      <c r="BQ12" s="77"/>
      <c r="BR12" s="27"/>
      <c r="BS12" s="26">
        <v>64.663380759999995</v>
      </c>
      <c r="BT12" s="77">
        <v>7.7013554390000003</v>
      </c>
      <c r="BU12" s="77">
        <v>7.1860647469999996</v>
      </c>
      <c r="BV12" s="77">
        <v>20.449199060000002</v>
      </c>
      <c r="BW12" s="114">
        <v>64.663380759999995</v>
      </c>
      <c r="BX12" s="114">
        <v>14.887420186</v>
      </c>
      <c r="BY12" s="114">
        <v>20.449199060000002</v>
      </c>
      <c r="BZ12" s="32">
        <v>35.336619245999998</v>
      </c>
    </row>
    <row r="13" spans="1:248" s="41" customFormat="1" ht="14.4" customHeight="1" x14ac:dyDescent="0.3">
      <c r="A13" s="23" t="s">
        <v>88</v>
      </c>
      <c r="B13" s="41" t="s">
        <v>89</v>
      </c>
      <c r="C13" s="41" t="s">
        <v>108</v>
      </c>
      <c r="D13" s="511" t="s">
        <v>109</v>
      </c>
      <c r="E13" s="205" t="s">
        <v>200</v>
      </c>
      <c r="F13" s="128" t="s">
        <v>701</v>
      </c>
      <c r="G13" s="128" t="s">
        <v>211</v>
      </c>
      <c r="H13" s="128"/>
      <c r="I13" s="126" t="s">
        <v>227</v>
      </c>
      <c r="J13" s="126"/>
      <c r="K13" s="184">
        <v>9</v>
      </c>
      <c r="L13" s="146">
        <v>-16.249919371745719</v>
      </c>
      <c r="M13" s="146">
        <v>-30.713884824015409</v>
      </c>
      <c r="N13" s="146">
        <v>-8.0037976264037241</v>
      </c>
      <c r="O13" s="146">
        <v>-34.954530789442856</v>
      </c>
      <c r="P13" s="146">
        <v>-55.036511306277447</v>
      </c>
      <c r="Q13" s="146">
        <v>-12.856500859073108</v>
      </c>
      <c r="R13" s="146">
        <v>-23.793937431314291</v>
      </c>
      <c r="S13" s="146">
        <v>-51.980873608453187</v>
      </c>
      <c r="T13" s="146">
        <v>-6.3896929626243661</v>
      </c>
      <c r="U13" s="109">
        <v>0</v>
      </c>
      <c r="V13" s="109">
        <v>0</v>
      </c>
      <c r="W13" s="109">
        <v>0</v>
      </c>
      <c r="X13" s="109">
        <v>-14.142857142857139</v>
      </c>
      <c r="Y13" s="109">
        <v>-33.827664399092967</v>
      </c>
      <c r="Z13" s="109">
        <v>2.0453514739229064</v>
      </c>
      <c r="AA13" s="109">
        <v>-10</v>
      </c>
      <c r="AB13" s="109">
        <v>-39.863945578231295</v>
      </c>
      <c r="AC13" s="109">
        <v>1.668934240362816</v>
      </c>
      <c r="AD13" s="122">
        <v>30.699774269999999</v>
      </c>
      <c r="AE13" s="116">
        <v>53.724604970999998</v>
      </c>
      <c r="AF13" s="116">
        <v>15.57562077</v>
      </c>
      <c r="AG13" s="123">
        <v>69.300225740999991</v>
      </c>
      <c r="AH13" s="41">
        <v>-16.249919371745719</v>
      </c>
      <c r="AI13" s="41">
        <v>-30.713884824015409</v>
      </c>
      <c r="AJ13" s="41">
        <v>-8.0037976264037241</v>
      </c>
      <c r="AK13" s="41">
        <v>-34.954530789442856</v>
      </c>
      <c r="AL13" s="41">
        <v>-55.036511306277447</v>
      </c>
      <c r="AM13" s="41">
        <v>-12.856500859073108</v>
      </c>
      <c r="AN13" s="41">
        <v>-23.793937431314291</v>
      </c>
      <c r="AO13" s="41">
        <v>-51.980873608453187</v>
      </c>
      <c r="AP13" s="41">
        <v>-6.3896929626243661</v>
      </c>
      <c r="AQ13" s="109">
        <v>0</v>
      </c>
      <c r="AR13" s="109">
        <v>0</v>
      </c>
      <c r="AS13" s="109">
        <v>0</v>
      </c>
      <c r="AT13" s="109">
        <v>-14.142857142857139</v>
      </c>
      <c r="AU13" s="109">
        <v>-33.827664399092967</v>
      </c>
      <c r="AV13" s="109">
        <v>2.0453514739229064</v>
      </c>
      <c r="AW13" s="109">
        <v>-10</v>
      </c>
      <c r="AX13" s="109">
        <v>-39.863945578231295</v>
      </c>
      <c r="AY13" s="109">
        <v>1.668934240362816</v>
      </c>
      <c r="AZ13" s="118">
        <v>30.699774269999999</v>
      </c>
      <c r="BA13" s="114">
        <v>53.724604970999998</v>
      </c>
      <c r="BB13" s="114">
        <v>15.57562077</v>
      </c>
      <c r="BC13" s="115">
        <v>69.300225740999991</v>
      </c>
      <c r="BD13" s="518" t="s">
        <v>95</v>
      </c>
      <c r="BJ13" s="63"/>
      <c r="BK13" s="77"/>
      <c r="BL13" s="77"/>
      <c r="BM13" s="77"/>
      <c r="BN13" s="60"/>
      <c r="BO13" s="77"/>
      <c r="BP13" s="77"/>
      <c r="BQ13" s="77"/>
      <c r="BR13" s="27"/>
      <c r="BS13" s="26">
        <v>30.699774269999999</v>
      </c>
      <c r="BT13" s="77">
        <v>44.243792329999998</v>
      </c>
      <c r="BU13" s="77">
        <v>9.480812641</v>
      </c>
      <c r="BV13" s="77">
        <v>15.57562077</v>
      </c>
      <c r="BW13" s="114">
        <v>30.699774269999999</v>
      </c>
      <c r="BX13" s="114">
        <v>53.724604970999998</v>
      </c>
      <c r="BY13" s="114">
        <v>15.57562077</v>
      </c>
      <c r="BZ13" s="32">
        <v>69.300225740999991</v>
      </c>
    </row>
    <row r="14" spans="1:248" s="63" customFormat="1" ht="14.4" customHeight="1" x14ac:dyDescent="0.3">
      <c r="A14" s="23" t="s">
        <v>88</v>
      </c>
      <c r="B14" s="41" t="s">
        <v>89</v>
      </c>
      <c r="C14" s="41" t="s">
        <v>110</v>
      </c>
      <c r="D14" s="511" t="s">
        <v>111</v>
      </c>
      <c r="E14" s="205" t="s">
        <v>200</v>
      </c>
      <c r="F14" s="128" t="s">
        <v>698</v>
      </c>
      <c r="G14" s="128" t="s">
        <v>211</v>
      </c>
      <c r="H14" s="128"/>
      <c r="I14" s="126" t="s">
        <v>201</v>
      </c>
      <c r="J14" s="126"/>
      <c r="K14" s="184">
        <v>10</v>
      </c>
      <c r="L14" s="146">
        <v>-10.61597984596429</v>
      </c>
      <c r="M14" s="146">
        <v>-17.590792242242429</v>
      </c>
      <c r="N14" s="146">
        <v>-6.0713859361527795</v>
      </c>
      <c r="O14" s="146">
        <v>-18.061636288171414</v>
      </c>
      <c r="P14" s="146">
        <v>-31.197614299942572</v>
      </c>
      <c r="Q14" s="146">
        <v>-7.0038309214821766</v>
      </c>
      <c r="R14" s="146">
        <v>-12.350319381957135</v>
      </c>
      <c r="S14" s="146">
        <v>-27.730135631967443</v>
      </c>
      <c r="T14" s="146">
        <v>-4.654977820097514</v>
      </c>
      <c r="U14" s="109">
        <v>0</v>
      </c>
      <c r="V14" s="109">
        <v>0</v>
      </c>
      <c r="W14" s="109">
        <v>0</v>
      </c>
      <c r="X14" s="109">
        <v>-4</v>
      </c>
      <c r="Y14" s="109">
        <v>-15.163595262666476</v>
      </c>
      <c r="Z14" s="109">
        <v>1.8524743230625518</v>
      </c>
      <c r="AA14" s="109">
        <v>-6.1428571428571388</v>
      </c>
      <c r="AB14" s="109">
        <v>-15.486215538847105</v>
      </c>
      <c r="AC14" s="109">
        <v>-3.857683424246261E-2</v>
      </c>
      <c r="AD14" s="122">
        <v>62.720386140000002</v>
      </c>
      <c r="AE14" s="116">
        <v>10.886907555000001</v>
      </c>
      <c r="AF14" s="116">
        <v>26.392706310000001</v>
      </c>
      <c r="AG14" s="123">
        <v>37.279613865000002</v>
      </c>
      <c r="AH14" s="41">
        <v>-10.61597984596429</v>
      </c>
      <c r="AI14" s="41">
        <v>-17.590792242242429</v>
      </c>
      <c r="AJ14" s="41">
        <v>-6.0713859361527795</v>
      </c>
      <c r="AK14" s="41">
        <v>-18.061636288171414</v>
      </c>
      <c r="AL14" s="41">
        <v>-31.197614299942572</v>
      </c>
      <c r="AM14" s="41">
        <v>-7.0038309214821766</v>
      </c>
      <c r="AN14" s="41">
        <v>-12.350319381957135</v>
      </c>
      <c r="AO14" s="41">
        <v>-27.730135631967443</v>
      </c>
      <c r="AP14" s="41">
        <v>-4.654977820097514</v>
      </c>
      <c r="AQ14" s="109">
        <v>0</v>
      </c>
      <c r="AR14" s="109">
        <v>0</v>
      </c>
      <c r="AS14" s="109">
        <v>0</v>
      </c>
      <c r="AT14" s="109">
        <v>-4</v>
      </c>
      <c r="AU14" s="109">
        <v>-15.163595262666476</v>
      </c>
      <c r="AV14" s="109">
        <v>1.8524743230625518</v>
      </c>
      <c r="AW14" s="109">
        <v>-6.1428571428571388</v>
      </c>
      <c r="AX14" s="109">
        <v>-15.486215538847105</v>
      </c>
      <c r="AY14" s="109">
        <v>-3.857683424246261E-2</v>
      </c>
      <c r="AZ14" s="118">
        <v>62.720386140000002</v>
      </c>
      <c r="BA14" s="114">
        <v>10.886907555000001</v>
      </c>
      <c r="BB14" s="114">
        <v>26.392706310000001</v>
      </c>
      <c r="BC14" s="115">
        <v>37.279613865000002</v>
      </c>
      <c r="BD14" s="518" t="s">
        <v>95</v>
      </c>
      <c r="BE14" s="41"/>
      <c r="BF14" s="41"/>
      <c r="BG14" s="41"/>
      <c r="BH14" s="41"/>
      <c r="BI14" s="41"/>
      <c r="BK14" s="77"/>
      <c r="BL14" s="77"/>
      <c r="BM14" s="77"/>
      <c r="BN14" s="60"/>
      <c r="BO14" s="77"/>
      <c r="BP14" s="77"/>
      <c r="BQ14" s="77"/>
      <c r="BR14" s="27"/>
      <c r="BS14" s="26">
        <v>62.720386140000002</v>
      </c>
      <c r="BT14" s="77">
        <v>4.5384460679999998</v>
      </c>
      <c r="BU14" s="77">
        <v>6.3484614869999998</v>
      </c>
      <c r="BV14" s="77">
        <v>26.392706310000001</v>
      </c>
      <c r="BW14" s="114">
        <v>62.720386140000002</v>
      </c>
      <c r="BX14" s="114">
        <v>10.886907555000001</v>
      </c>
      <c r="BY14" s="114">
        <v>26.392706310000001</v>
      </c>
      <c r="BZ14" s="32">
        <v>37.279613865000002</v>
      </c>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row>
    <row r="15" spans="1:248" s="41" customFormat="1" ht="14.4" customHeight="1" x14ac:dyDescent="0.3">
      <c r="A15" s="23" t="s">
        <v>88</v>
      </c>
      <c r="B15" s="41" t="s">
        <v>89</v>
      </c>
      <c r="C15" s="41" t="s">
        <v>112</v>
      </c>
      <c r="D15" s="511" t="s">
        <v>113</v>
      </c>
      <c r="E15" s="205" t="s">
        <v>200</v>
      </c>
      <c r="F15" s="128" t="s">
        <v>701</v>
      </c>
      <c r="G15" s="128" t="s">
        <v>211</v>
      </c>
      <c r="H15" s="128"/>
      <c r="I15" s="126" t="s">
        <v>227</v>
      </c>
      <c r="J15" s="126"/>
      <c r="K15" s="184">
        <v>11</v>
      </c>
      <c r="L15" s="146">
        <v>-37.142857142857146</v>
      </c>
      <c r="M15" s="146">
        <v>-58.559823929571827</v>
      </c>
      <c r="N15" s="146">
        <v>-19.297318927571027</v>
      </c>
      <c r="O15" s="146">
        <v>-50.714285714285715</v>
      </c>
      <c r="P15" s="146">
        <v>-79.886354541816729</v>
      </c>
      <c r="Q15" s="146">
        <v>-34.17486994797919</v>
      </c>
      <c r="R15" s="146">
        <v>-40.714285714285715</v>
      </c>
      <c r="S15" s="146">
        <v>-78.684673869547808</v>
      </c>
      <c r="T15" s="146">
        <v>-22.134053621448587</v>
      </c>
      <c r="U15" s="109">
        <v>0</v>
      </c>
      <c r="V15" s="109">
        <v>0</v>
      </c>
      <c r="W15" s="109">
        <v>0</v>
      </c>
      <c r="X15" s="109">
        <v>-4.7142857142857082</v>
      </c>
      <c r="Y15" s="109">
        <v>-17.635875402792692</v>
      </c>
      <c r="Z15" s="109">
        <v>-0.88805346700083021</v>
      </c>
      <c r="AA15" s="109">
        <v>-5.1428571428571388</v>
      </c>
      <c r="AB15" s="109">
        <v>-17.542041377954689</v>
      </c>
      <c r="AC15" s="109">
        <v>3.2090028994062436E-2</v>
      </c>
      <c r="AD15" s="122">
        <v>0</v>
      </c>
      <c r="AE15" s="116">
        <v>0</v>
      </c>
      <c r="AF15" s="116">
        <v>100</v>
      </c>
      <c r="AG15" s="123">
        <v>100</v>
      </c>
      <c r="AH15" s="41">
        <v>-37.142857142857146</v>
      </c>
      <c r="AI15" s="41">
        <v>-58.559823929571827</v>
      </c>
      <c r="AJ15" s="41">
        <v>-19.297318927571027</v>
      </c>
      <c r="AK15" s="41">
        <v>-50.714285714285715</v>
      </c>
      <c r="AL15" s="41">
        <v>-79.886354541816729</v>
      </c>
      <c r="AM15" s="41">
        <v>-34.17486994797919</v>
      </c>
      <c r="AN15" s="41">
        <v>-40.714285714285715</v>
      </c>
      <c r="AO15" s="41">
        <v>-78.684673869547808</v>
      </c>
      <c r="AP15" s="41">
        <v>-22.134053621448587</v>
      </c>
      <c r="AQ15" s="109">
        <v>0</v>
      </c>
      <c r="AR15" s="109">
        <v>0</v>
      </c>
      <c r="AS15" s="109">
        <v>0</v>
      </c>
      <c r="AT15" s="109">
        <v>-4.7142857142857082</v>
      </c>
      <c r="AU15" s="109">
        <v>-17.635875402792692</v>
      </c>
      <c r="AV15" s="109">
        <v>-0.88805346700083021</v>
      </c>
      <c r="AW15" s="109">
        <v>-5.1428571428571388</v>
      </c>
      <c r="AX15" s="109">
        <v>-17.542041377954689</v>
      </c>
      <c r="AY15" s="109">
        <v>3.2090028994062436E-2</v>
      </c>
      <c r="AZ15" s="118">
        <v>0</v>
      </c>
      <c r="BA15" s="114">
        <v>0</v>
      </c>
      <c r="BB15" s="114">
        <v>100</v>
      </c>
      <c r="BC15" s="115">
        <v>100</v>
      </c>
      <c r="BD15" s="518" t="s">
        <v>95</v>
      </c>
      <c r="BJ15" s="63"/>
      <c r="BK15" s="77"/>
      <c r="BL15" s="77"/>
      <c r="BM15" s="77"/>
      <c r="BN15" s="60"/>
      <c r="BO15" s="77"/>
      <c r="BP15" s="77"/>
      <c r="BQ15" s="77"/>
      <c r="BR15" s="27"/>
      <c r="BS15" s="26">
        <v>0</v>
      </c>
      <c r="BT15" s="77">
        <v>0</v>
      </c>
      <c r="BU15" s="77">
        <v>0</v>
      </c>
      <c r="BV15" s="77">
        <v>100</v>
      </c>
      <c r="BW15" s="114">
        <v>0</v>
      </c>
      <c r="BX15" s="114">
        <v>0</v>
      </c>
      <c r="BY15" s="114">
        <v>100</v>
      </c>
      <c r="BZ15" s="32">
        <v>100</v>
      </c>
    </row>
    <row r="16" spans="1:248" s="41" customFormat="1" ht="14.4" customHeight="1" x14ac:dyDescent="0.3">
      <c r="A16" s="23" t="s">
        <v>88</v>
      </c>
      <c r="B16" s="41" t="s">
        <v>89</v>
      </c>
      <c r="C16" s="41" t="s">
        <v>147</v>
      </c>
      <c r="D16" s="511" t="s">
        <v>148</v>
      </c>
      <c r="E16" s="205" t="s">
        <v>200</v>
      </c>
      <c r="F16" s="128" t="s">
        <v>702</v>
      </c>
      <c r="G16" s="128" t="s">
        <v>211</v>
      </c>
      <c r="H16" s="128"/>
      <c r="I16" s="136" t="s">
        <v>201</v>
      </c>
      <c r="J16" s="136"/>
      <c r="K16" s="184"/>
      <c r="L16" s="109"/>
      <c r="M16" s="109"/>
      <c r="N16" s="109"/>
      <c r="O16" s="110"/>
      <c r="P16" s="110"/>
      <c r="Q16" s="110"/>
      <c r="R16" s="110"/>
      <c r="S16" s="110"/>
      <c r="T16" s="110"/>
      <c r="U16" s="110"/>
      <c r="V16" s="110"/>
      <c r="W16" s="110"/>
      <c r="X16" s="110"/>
      <c r="Y16" s="110"/>
      <c r="Z16" s="110"/>
      <c r="AA16" s="110"/>
      <c r="AB16" s="110"/>
      <c r="AC16" s="110"/>
      <c r="AD16" s="120">
        <v>92.163090684337291</v>
      </c>
      <c r="AE16" s="113">
        <v>2.8975173404165822</v>
      </c>
      <c r="AF16" s="113">
        <v>4.9393919752461217</v>
      </c>
      <c r="AG16" s="121">
        <v>7.8369093156627034</v>
      </c>
      <c r="AK16" s="110"/>
      <c r="AL16" s="110"/>
      <c r="AM16" s="110"/>
      <c r="AN16" s="110"/>
      <c r="AO16" s="110"/>
      <c r="AP16" s="110"/>
      <c r="AQ16" s="110"/>
      <c r="AR16" s="110"/>
      <c r="AS16" s="110"/>
      <c r="AT16" s="110"/>
      <c r="AU16" s="110"/>
      <c r="AV16" s="110"/>
      <c r="AW16" s="110"/>
      <c r="AX16" s="110"/>
      <c r="AY16" s="110"/>
      <c r="AZ16" s="117">
        <v>93.388215465835557</v>
      </c>
      <c r="BA16" s="60">
        <v>1.672392558918314</v>
      </c>
      <c r="BB16" s="60">
        <v>4.9393919752461217</v>
      </c>
      <c r="BC16" s="59">
        <v>6.6117845341644355</v>
      </c>
      <c r="BD16" s="518" t="s">
        <v>92</v>
      </c>
      <c r="BE16" s="77">
        <v>9.0667703000000002E-2</v>
      </c>
      <c r="BF16" s="77">
        <v>1.2240139889999999</v>
      </c>
      <c r="BG16" s="77">
        <v>1.670876239</v>
      </c>
      <c r="BH16" s="77">
        <v>3.3028948900000001</v>
      </c>
      <c r="BI16" s="77">
        <v>1.632018652</v>
      </c>
      <c r="BJ16" s="70">
        <v>99.909332297000006</v>
      </c>
      <c r="BK16" s="59">
        <v>93.388215465835557</v>
      </c>
      <c r="BL16" s="59">
        <v>1.672392558918314</v>
      </c>
      <c r="BM16" s="59">
        <v>4.9393919752461217</v>
      </c>
      <c r="BN16" s="60">
        <v>6.6117845341644355</v>
      </c>
      <c r="BO16" s="77">
        <v>90.484697932017013</v>
      </c>
      <c r="BP16" s="77">
        <v>2.8975173404165822</v>
      </c>
      <c r="BQ16" s="77">
        <v>6.6177847275664048</v>
      </c>
      <c r="BR16" s="27">
        <v>9.5153020679829865</v>
      </c>
      <c r="BS16" s="28"/>
      <c r="BT16" s="557"/>
      <c r="BU16" s="557"/>
      <c r="BV16" s="557"/>
      <c r="BW16" s="557"/>
      <c r="BZ16" s="29"/>
    </row>
    <row r="17" spans="1:78" s="41" customFormat="1" ht="14.4" customHeight="1" x14ac:dyDescent="0.3">
      <c r="A17" s="23" t="s">
        <v>88</v>
      </c>
      <c r="B17" s="41" t="s">
        <v>89</v>
      </c>
      <c r="C17" s="41" t="s">
        <v>114</v>
      </c>
      <c r="D17" s="511" t="s">
        <v>115</v>
      </c>
      <c r="E17" s="205" t="s">
        <v>200</v>
      </c>
      <c r="F17" s="128" t="s">
        <v>699</v>
      </c>
      <c r="G17" s="128" t="s">
        <v>211</v>
      </c>
      <c r="H17" s="128"/>
      <c r="I17" s="126" t="s">
        <v>227</v>
      </c>
      <c r="J17" s="126"/>
      <c r="K17" s="184">
        <v>12</v>
      </c>
      <c r="L17" s="146">
        <v>-0.40697674319999066</v>
      </c>
      <c r="M17" s="146">
        <v>-0.85432816440396664</v>
      </c>
      <c r="N17" s="146">
        <v>-0.17603359073730473</v>
      </c>
      <c r="O17" s="146">
        <v>-15.774086377907139</v>
      </c>
      <c r="P17" s="146">
        <v>-29.278440833006712</v>
      </c>
      <c r="Q17" s="146">
        <v>-2.6127749539758867</v>
      </c>
      <c r="R17" s="146">
        <v>-24.990448504239993</v>
      </c>
      <c r="S17" s="146">
        <v>-43.914495254916552</v>
      </c>
      <c r="T17" s="146">
        <v>-8.9193483585901845</v>
      </c>
      <c r="U17" s="109">
        <v>0</v>
      </c>
      <c r="V17" s="109">
        <v>0</v>
      </c>
      <c r="W17" s="109">
        <v>0</v>
      </c>
      <c r="X17" s="109">
        <v>-15.285714285714292</v>
      </c>
      <c r="Y17" s="109">
        <v>-28.615579565159408</v>
      </c>
      <c r="Z17" s="109">
        <v>-2.3436041083100037</v>
      </c>
      <c r="AA17" s="109">
        <v>-24.714285714285708</v>
      </c>
      <c r="AB17" s="109">
        <v>-43.465919701213807</v>
      </c>
      <c r="AC17" s="109">
        <v>-8.8300653594771177</v>
      </c>
      <c r="AD17" s="122">
        <v>97.965116280000004</v>
      </c>
      <c r="AE17" s="116">
        <v>2.0348837209999999</v>
      </c>
      <c r="AF17" s="116">
        <v>0</v>
      </c>
      <c r="AG17" s="123">
        <v>2.0348837209999999</v>
      </c>
      <c r="AH17" s="41">
        <v>-0.40697674319999066</v>
      </c>
      <c r="AI17" s="41">
        <v>-0.85432816440396664</v>
      </c>
      <c r="AJ17" s="41">
        <v>-0.17603359073730473</v>
      </c>
      <c r="AK17" s="41">
        <v>-15.774086377907139</v>
      </c>
      <c r="AL17" s="41">
        <v>-29.278440833006712</v>
      </c>
      <c r="AM17" s="41">
        <v>-2.6127749539758867</v>
      </c>
      <c r="AN17" s="41">
        <v>-24.990448504239993</v>
      </c>
      <c r="AO17" s="41">
        <v>-43.914495254916552</v>
      </c>
      <c r="AP17" s="41">
        <v>-8.9193483585901845</v>
      </c>
      <c r="AQ17" s="109">
        <v>0</v>
      </c>
      <c r="AR17" s="109">
        <v>0</v>
      </c>
      <c r="AS17" s="109">
        <v>0</v>
      </c>
      <c r="AT17" s="109">
        <v>-15.285714285714292</v>
      </c>
      <c r="AU17" s="109">
        <v>-28.615579565159408</v>
      </c>
      <c r="AV17" s="109">
        <v>-2.3436041083100037</v>
      </c>
      <c r="AW17" s="109">
        <v>-24.714285714285708</v>
      </c>
      <c r="AX17" s="109">
        <v>-43.465919701213807</v>
      </c>
      <c r="AY17" s="109">
        <v>-8.8300653594771177</v>
      </c>
      <c r="AZ17" s="118">
        <v>97.965116280000004</v>
      </c>
      <c r="BA17" s="114">
        <v>2.0348837209999999</v>
      </c>
      <c r="BB17" s="114">
        <v>0</v>
      </c>
      <c r="BC17" s="115">
        <v>2.0348837209999999</v>
      </c>
      <c r="BD17" s="518" t="s">
        <v>95</v>
      </c>
      <c r="BJ17" s="63"/>
      <c r="BK17" s="77"/>
      <c r="BL17" s="77"/>
      <c r="BM17" s="77"/>
      <c r="BN17" s="60"/>
      <c r="BO17" s="77"/>
      <c r="BP17" s="77"/>
      <c r="BQ17" s="77"/>
      <c r="BR17" s="27"/>
      <c r="BS17" s="26">
        <v>97.965116280000004</v>
      </c>
      <c r="BT17" s="77">
        <v>2.0348837209999999</v>
      </c>
      <c r="BU17" s="77">
        <v>0</v>
      </c>
      <c r="BV17" s="77">
        <v>0</v>
      </c>
      <c r="BW17" s="114">
        <v>97.965116280000004</v>
      </c>
      <c r="BX17" s="114">
        <v>2.0348837209999999</v>
      </c>
      <c r="BY17" s="114">
        <v>0</v>
      </c>
      <c r="BZ17" s="32">
        <v>2.0348837209999999</v>
      </c>
    </row>
    <row r="18" spans="1:78" s="41" customFormat="1" ht="14.4" customHeight="1" x14ac:dyDescent="0.3">
      <c r="A18" s="23" t="s">
        <v>88</v>
      </c>
      <c r="B18" s="41" t="s">
        <v>89</v>
      </c>
      <c r="C18" s="41" t="s">
        <v>116</v>
      </c>
      <c r="D18" s="511" t="s">
        <v>117</v>
      </c>
      <c r="E18" s="205" t="s">
        <v>200</v>
      </c>
      <c r="F18" s="128" t="s">
        <v>701</v>
      </c>
      <c r="G18" s="128" t="s">
        <v>211</v>
      </c>
      <c r="H18" s="128"/>
      <c r="I18" s="126" t="s">
        <v>227</v>
      </c>
      <c r="J18" s="126"/>
      <c r="K18" s="184">
        <v>13</v>
      </c>
      <c r="L18" s="146">
        <v>-16.698252265576585</v>
      </c>
      <c r="M18" s="146">
        <v>-30.950950842560914</v>
      </c>
      <c r="N18" s="146">
        <v>-9.6269699234546948</v>
      </c>
      <c r="O18" s="146">
        <v>-28.858857505466659</v>
      </c>
      <c r="P18" s="146">
        <v>-50.873535697804869</v>
      </c>
      <c r="Q18" s="146">
        <v>-9.0972127432257537</v>
      </c>
      <c r="R18" s="146">
        <v>-20.757903920775121</v>
      </c>
      <c r="S18" s="146">
        <v>-52.627381074643331</v>
      </c>
      <c r="T18" s="146">
        <v>-4.6698747752839012</v>
      </c>
      <c r="U18" s="109">
        <v>0</v>
      </c>
      <c r="V18" s="109">
        <v>0</v>
      </c>
      <c r="W18" s="109">
        <v>0</v>
      </c>
      <c r="X18" s="109">
        <v>-14.714285714285708</v>
      </c>
      <c r="Y18" s="109">
        <v>-34.099598813884526</v>
      </c>
      <c r="Z18" s="109">
        <v>2.2234432234432262</v>
      </c>
      <c r="AA18" s="109">
        <v>-10.428571428571431</v>
      </c>
      <c r="AB18" s="109">
        <v>-39.965021906198373</v>
      </c>
      <c r="AC18" s="109">
        <v>1.9684694390576709</v>
      </c>
      <c r="AD18" s="120">
        <v>52.958517576922837</v>
      </c>
      <c r="AE18" s="113">
        <v>27.690040012280626</v>
      </c>
      <c r="AF18" s="113">
        <v>19.35144241079653</v>
      </c>
      <c r="AG18" s="121">
        <v>47.041482423077156</v>
      </c>
      <c r="AH18" s="41">
        <v>-15.57786601894658</v>
      </c>
      <c r="AI18" s="41">
        <v>-28.645103975776379</v>
      </c>
      <c r="AJ18" s="41">
        <v>-9.0713964071864837</v>
      </c>
      <c r="AK18" s="41">
        <v>-27.956802937667135</v>
      </c>
      <c r="AL18" s="41">
        <v>-49.804929739120638</v>
      </c>
      <c r="AM18" s="41">
        <v>-8.4464690079801557</v>
      </c>
      <c r="AN18" s="41">
        <v>-20.229311435185593</v>
      </c>
      <c r="AO18" s="41">
        <v>-51.913039490417674</v>
      </c>
      <c r="AP18" s="41">
        <v>-4.3828752137803377</v>
      </c>
      <c r="AQ18" s="109">
        <v>0</v>
      </c>
      <c r="AR18" s="109">
        <v>0</v>
      </c>
      <c r="AS18" s="109">
        <v>0</v>
      </c>
      <c r="AT18" s="109">
        <v>-14.714285714285708</v>
      </c>
      <c r="AU18" s="109">
        <v>-34.099598813884526</v>
      </c>
      <c r="AV18" s="109">
        <v>2.2234432234432262</v>
      </c>
      <c r="AW18" s="109">
        <v>-10.428571428571431</v>
      </c>
      <c r="AX18" s="109">
        <v>-39.965021906198373</v>
      </c>
      <c r="AY18" s="109">
        <v>1.9684694390576709</v>
      </c>
      <c r="AZ18" s="117">
        <v>56.980416923799716</v>
      </c>
      <c r="BA18" s="60">
        <v>23.668140665403751</v>
      </c>
      <c r="BB18" s="60">
        <v>19.35144241079653</v>
      </c>
      <c r="BC18" s="59">
        <v>43.019583076200277</v>
      </c>
      <c r="BD18" s="518" t="s">
        <v>92</v>
      </c>
      <c r="BE18" s="77">
        <v>4.2096400999999999E-2</v>
      </c>
      <c r="BF18" s="77">
        <v>4.0202062720000002</v>
      </c>
      <c r="BG18" s="77">
        <v>23.65817723</v>
      </c>
      <c r="BH18" s="77">
        <v>17.680488319999998</v>
      </c>
      <c r="BI18" s="77">
        <v>1.66280783</v>
      </c>
      <c r="BJ18" s="70">
        <v>99.957903599000005</v>
      </c>
      <c r="BK18" s="59">
        <v>56.980416923799716</v>
      </c>
      <c r="BL18" s="59">
        <v>23.668140665403751</v>
      </c>
      <c r="BM18" s="59">
        <v>19.35144241079653</v>
      </c>
      <c r="BN18" s="60">
        <v>43.019583076200277</v>
      </c>
      <c r="BO18" s="77">
        <v>29.272259588577889</v>
      </c>
      <c r="BP18" s="77">
        <v>27.690040012280626</v>
      </c>
      <c r="BQ18" s="77">
        <v>43.037700399141478</v>
      </c>
      <c r="BR18" s="27">
        <v>70.727740411422104</v>
      </c>
      <c r="BS18" s="28"/>
      <c r="BT18" s="557"/>
      <c r="BU18" s="557"/>
      <c r="BV18" s="557"/>
      <c r="BW18" s="557"/>
      <c r="BZ18" s="29"/>
    </row>
    <row r="19" spans="1:78" s="41" customFormat="1" ht="14.4" customHeight="1" x14ac:dyDescent="0.3">
      <c r="A19" s="23" t="s">
        <v>88</v>
      </c>
      <c r="B19" s="41" t="s">
        <v>89</v>
      </c>
      <c r="C19" s="41" t="s">
        <v>149</v>
      </c>
      <c r="D19" s="511" t="s">
        <v>150</v>
      </c>
      <c r="E19" s="205" t="s">
        <v>200</v>
      </c>
      <c r="F19" s="128" t="s">
        <v>698</v>
      </c>
      <c r="G19" s="128" t="s">
        <v>211</v>
      </c>
      <c r="H19" s="128"/>
      <c r="I19" s="136" t="s">
        <v>201</v>
      </c>
      <c r="J19" s="136"/>
      <c r="K19" s="184"/>
      <c r="L19" s="109"/>
      <c r="M19" s="109"/>
      <c r="N19" s="109"/>
      <c r="O19" s="110"/>
      <c r="P19" s="110"/>
      <c r="Q19" s="110"/>
      <c r="R19" s="110"/>
      <c r="S19" s="110"/>
      <c r="T19" s="110"/>
      <c r="U19" s="110"/>
      <c r="V19" s="110"/>
      <c r="W19" s="110"/>
      <c r="X19" s="110"/>
      <c r="Y19" s="110"/>
      <c r="Z19" s="110"/>
      <c r="AA19" s="110"/>
      <c r="AB19" s="110"/>
      <c r="AC19" s="110"/>
      <c r="AD19" s="120">
        <v>84.70848471688447</v>
      </c>
      <c r="AE19" s="113">
        <v>12.820483432826688</v>
      </c>
      <c r="AF19" s="113">
        <v>2.4710318502888313</v>
      </c>
      <c r="AG19" s="121">
        <v>15.291515283115519</v>
      </c>
      <c r="AK19" s="110"/>
      <c r="AL19" s="110"/>
      <c r="AM19" s="110"/>
      <c r="AN19" s="110"/>
      <c r="AO19" s="110"/>
      <c r="AP19" s="110"/>
      <c r="AQ19" s="110"/>
      <c r="AR19" s="110"/>
      <c r="AS19" s="110"/>
      <c r="AT19" s="110"/>
      <c r="AU19" s="110"/>
      <c r="AV19" s="110"/>
      <c r="AW19" s="110"/>
      <c r="AX19" s="110"/>
      <c r="AY19" s="110"/>
      <c r="AZ19" s="117">
        <v>89.209292730984089</v>
      </c>
      <c r="BA19" s="60">
        <v>8.3196754187270869</v>
      </c>
      <c r="BB19" s="60">
        <v>2.4710318502888313</v>
      </c>
      <c r="BC19" s="59">
        <v>10.790707269015918</v>
      </c>
      <c r="BD19" s="518" t="s">
        <v>92</v>
      </c>
      <c r="BE19" s="77">
        <v>0.19446128500000001</v>
      </c>
      <c r="BF19" s="77">
        <v>4.4920556850000004</v>
      </c>
      <c r="BG19" s="77">
        <v>8.3034968710000001</v>
      </c>
      <c r="BH19" s="77">
        <v>2.3015065030000001</v>
      </c>
      <c r="BI19" s="77">
        <v>0.16472014700000001</v>
      </c>
      <c r="BJ19" s="70">
        <v>99.805538714999997</v>
      </c>
      <c r="BK19" s="59">
        <v>89.209292730984089</v>
      </c>
      <c r="BL19" s="59">
        <v>8.3196754187270869</v>
      </c>
      <c r="BM19" s="59">
        <v>2.4710318502888313</v>
      </c>
      <c r="BN19" s="60">
        <v>10.790707269015918</v>
      </c>
      <c r="BO19" s="77">
        <v>76.367784665370394</v>
      </c>
      <c r="BP19" s="77">
        <v>12.820483432826688</v>
      </c>
      <c r="BQ19" s="77">
        <v>10.811731901802919</v>
      </c>
      <c r="BR19" s="27">
        <v>23.632215334629606</v>
      </c>
      <c r="BS19" s="28"/>
      <c r="BT19" s="557"/>
      <c r="BU19" s="557"/>
      <c r="BV19" s="557"/>
      <c r="BW19" s="557"/>
      <c r="BZ19" s="29"/>
    </row>
    <row r="20" spans="1:78" s="41" customFormat="1" ht="14.4" customHeight="1" x14ac:dyDescent="0.3">
      <c r="A20" s="23" t="s">
        <v>88</v>
      </c>
      <c r="B20" s="41" t="s">
        <v>89</v>
      </c>
      <c r="C20" s="41" t="s">
        <v>118</v>
      </c>
      <c r="D20" s="511" t="s">
        <v>119</v>
      </c>
      <c r="E20" s="205" t="s">
        <v>200</v>
      </c>
      <c r="F20" s="128" t="s">
        <v>708</v>
      </c>
      <c r="G20" s="128" t="s">
        <v>211</v>
      </c>
      <c r="H20" s="128"/>
      <c r="I20" s="126" t="s">
        <v>346</v>
      </c>
      <c r="J20" s="126" t="s">
        <v>227</v>
      </c>
      <c r="K20" s="184">
        <v>14</v>
      </c>
      <c r="L20" s="146">
        <v>-2.5451083300001045</v>
      </c>
      <c r="M20" s="146">
        <v>-5.7029384317576586</v>
      </c>
      <c r="N20" s="146">
        <v>-0.87199141434196292</v>
      </c>
      <c r="O20" s="146">
        <v>-14.468457269557604</v>
      </c>
      <c r="P20" s="146">
        <v>-29.217341900142131</v>
      </c>
      <c r="Q20" s="146">
        <v>-1.023020503371626</v>
      </c>
      <c r="R20" s="146">
        <v>-18.077620163334586</v>
      </c>
      <c r="S20" s="146">
        <v>-42.055727202249969</v>
      </c>
      <c r="T20" s="146">
        <v>-4.6216122797802512</v>
      </c>
      <c r="U20" s="109">
        <v>0</v>
      </c>
      <c r="V20" s="109">
        <v>0</v>
      </c>
      <c r="W20" s="109">
        <v>0</v>
      </c>
      <c r="X20" s="109">
        <v>-10.428571428571431</v>
      </c>
      <c r="Y20" s="109">
        <v>-23.725623582766445</v>
      </c>
      <c r="Z20" s="109">
        <v>1.3628117913832227</v>
      </c>
      <c r="AA20" s="109">
        <v>-16</v>
      </c>
      <c r="AB20" s="109">
        <v>-39.024676537281579</v>
      </c>
      <c r="AC20" s="109">
        <v>-3.6985460851007019</v>
      </c>
      <c r="AD20" s="120">
        <v>84.47725458844593</v>
      </c>
      <c r="AE20" s="113">
        <v>14.258682388329941</v>
      </c>
      <c r="AF20" s="113">
        <v>1.2640630232241294</v>
      </c>
      <c r="AG20" s="121">
        <v>15.52274541155407</v>
      </c>
      <c r="AH20" s="41">
        <v>-1.4286909574916677</v>
      </c>
      <c r="AI20" s="41">
        <v>-3.1010024329726633</v>
      </c>
      <c r="AJ20" s="41">
        <v>-0.52516787685067357</v>
      </c>
      <c r="AK20" s="41">
        <v>-12.639659287924701</v>
      </c>
      <c r="AL20" s="41">
        <v>-26.706373242820774</v>
      </c>
      <c r="AM20" s="41">
        <v>8.5052684759432395E-3</v>
      </c>
      <c r="AN20" s="41">
        <v>-17.184486265327834</v>
      </c>
      <c r="AO20" s="41">
        <v>-40.70216731249365</v>
      </c>
      <c r="AP20" s="41">
        <v>-4.2614657943194914</v>
      </c>
      <c r="AQ20" s="109">
        <v>0</v>
      </c>
      <c r="AR20" s="109">
        <v>0</v>
      </c>
      <c r="AS20" s="109">
        <v>0</v>
      </c>
      <c r="AT20" s="109">
        <v>-10.428571428571431</v>
      </c>
      <c r="AU20" s="109">
        <v>-23.725623582766445</v>
      </c>
      <c r="AV20" s="109">
        <v>1.3628117913832227</v>
      </c>
      <c r="AW20" s="109">
        <v>-16</v>
      </c>
      <c r="AX20" s="109">
        <v>-39.024676537281579</v>
      </c>
      <c r="AY20" s="109">
        <v>-3.6985460851007019</v>
      </c>
      <c r="AZ20" s="117">
        <v>91.920037071835566</v>
      </c>
      <c r="BA20" s="60">
        <v>6.8158999049403048</v>
      </c>
      <c r="BB20" s="60">
        <v>1.2640630232241294</v>
      </c>
      <c r="BC20" s="59">
        <v>8.0799629281644343</v>
      </c>
      <c r="BD20" s="518" t="s">
        <v>92</v>
      </c>
      <c r="BE20" s="77">
        <v>0.33228558600000002</v>
      </c>
      <c r="BF20" s="77">
        <v>7.4180511899999999</v>
      </c>
      <c r="BG20" s="77">
        <v>6.7932516520000004</v>
      </c>
      <c r="BH20" s="77">
        <v>1.222657002</v>
      </c>
      <c r="BI20" s="77">
        <v>3.7205721999999997E-2</v>
      </c>
      <c r="BJ20" s="70">
        <v>99.667714414000002</v>
      </c>
      <c r="BK20" s="59">
        <v>91.920037071835566</v>
      </c>
      <c r="BL20" s="59">
        <v>6.8158999049403048</v>
      </c>
      <c r="BM20" s="59">
        <v>1.2640630232241294</v>
      </c>
      <c r="BN20" s="60">
        <v>8.0799629281644343</v>
      </c>
      <c r="BO20" s="77">
        <v>77.634416620039133</v>
      </c>
      <c r="BP20" s="77">
        <v>14.258682388329941</v>
      </c>
      <c r="BQ20" s="77">
        <v>8.1069009916309156</v>
      </c>
      <c r="BR20" s="27">
        <v>22.365583379960857</v>
      </c>
      <c r="BS20" s="28"/>
      <c r="BT20" s="557"/>
      <c r="BU20" s="557"/>
      <c r="BV20" s="557"/>
      <c r="BW20" s="557"/>
      <c r="BZ20" s="29"/>
    </row>
    <row r="21" spans="1:78" s="41" customFormat="1" ht="14.4" customHeight="1" x14ac:dyDescent="0.3">
      <c r="A21" s="23" t="s">
        <v>88</v>
      </c>
      <c r="B21" s="41" t="s">
        <v>89</v>
      </c>
      <c r="C21" s="41" t="s">
        <v>120</v>
      </c>
      <c r="D21" s="511" t="s">
        <v>121</v>
      </c>
      <c r="E21" s="205" t="s">
        <v>186</v>
      </c>
      <c r="F21" s="128" t="s">
        <v>703</v>
      </c>
      <c r="G21" s="128" t="s">
        <v>211</v>
      </c>
      <c r="H21" s="128"/>
      <c r="I21" s="126" t="s">
        <v>188</v>
      </c>
      <c r="J21" s="126"/>
      <c r="K21" s="184">
        <v>15</v>
      </c>
      <c r="L21" s="146">
        <v>-0.12101730166918401</v>
      </c>
      <c r="M21" s="146">
        <v>-0.28856863719451553</v>
      </c>
      <c r="N21" s="146">
        <v>-3.6593326933299863E-2</v>
      </c>
      <c r="O21" s="146">
        <v>-3.4551385080511636</v>
      </c>
      <c r="P21" s="146">
        <v>-14.468918120927896</v>
      </c>
      <c r="Q21" s="146">
        <v>2.8422198793648761</v>
      </c>
      <c r="R21" s="146">
        <v>-3.0468942043968212</v>
      </c>
      <c r="S21" s="146">
        <v>-16.445382388549959</v>
      </c>
      <c r="T21" s="146">
        <v>2.2169082060422056</v>
      </c>
      <c r="U21" s="109">
        <v>0</v>
      </c>
      <c r="V21" s="109">
        <v>0</v>
      </c>
      <c r="W21" s="109">
        <v>0</v>
      </c>
      <c r="X21" s="109">
        <v>-3.2857142857142918</v>
      </c>
      <c r="Y21" s="109">
        <v>-14.271975456849418</v>
      </c>
      <c r="Z21" s="109">
        <v>2.9295718287314827</v>
      </c>
      <c r="AA21" s="109">
        <v>-3</v>
      </c>
      <c r="AB21" s="109">
        <v>-16.387755102040813</v>
      </c>
      <c r="AC21" s="109">
        <v>2.2517006802721085</v>
      </c>
      <c r="AD21" s="120">
        <v>98.941098610394576</v>
      </c>
      <c r="AE21" s="113">
        <v>1.0589013896054253</v>
      </c>
      <c r="AF21" s="113">
        <v>0</v>
      </c>
      <c r="AG21" s="121">
        <v>1.0589013896054253</v>
      </c>
      <c r="AH21" s="41">
        <v>0</v>
      </c>
      <c r="AI21" s="41">
        <v>0</v>
      </c>
      <c r="AJ21" s="41">
        <v>0</v>
      </c>
      <c r="AK21" s="41">
        <v>-3.2857142857142918</v>
      </c>
      <c r="AL21" s="41">
        <v>-14.271975456849418</v>
      </c>
      <c r="AM21" s="41">
        <v>2.9295718287314827</v>
      </c>
      <c r="AN21" s="41">
        <v>-3</v>
      </c>
      <c r="AO21" s="41">
        <v>-16.387755102040813</v>
      </c>
      <c r="AP21" s="41">
        <v>2.2517006802721085</v>
      </c>
      <c r="AQ21" s="109">
        <v>0</v>
      </c>
      <c r="AR21" s="109">
        <v>0</v>
      </c>
      <c r="AS21" s="109">
        <v>0</v>
      </c>
      <c r="AT21" s="109">
        <v>-3.2857142857142918</v>
      </c>
      <c r="AU21" s="109">
        <v>-14.271975456849418</v>
      </c>
      <c r="AV21" s="109">
        <v>2.9295718287314827</v>
      </c>
      <c r="AW21" s="109">
        <v>-3</v>
      </c>
      <c r="AX21" s="109">
        <v>-16.387755102040813</v>
      </c>
      <c r="AY21" s="109">
        <v>2.2517006802721085</v>
      </c>
      <c r="AZ21" s="117">
        <v>100</v>
      </c>
      <c r="BA21" s="60">
        <v>0</v>
      </c>
      <c r="BB21" s="60">
        <v>0</v>
      </c>
      <c r="BC21" s="59">
        <v>0</v>
      </c>
      <c r="BD21" s="518" t="s">
        <v>92</v>
      </c>
      <c r="BE21" s="77">
        <v>6.6137565999999995E-2</v>
      </c>
      <c r="BF21" s="77">
        <v>1.0582010580000001</v>
      </c>
      <c r="BG21" s="77">
        <v>0</v>
      </c>
      <c r="BH21" s="77">
        <v>0</v>
      </c>
      <c r="BI21" s="77">
        <v>0</v>
      </c>
      <c r="BJ21" s="70">
        <v>99.933862434000005</v>
      </c>
      <c r="BK21" s="59">
        <v>100</v>
      </c>
      <c r="BL21" s="59">
        <v>0</v>
      </c>
      <c r="BM21" s="59">
        <v>0</v>
      </c>
      <c r="BN21" s="60">
        <v>0</v>
      </c>
      <c r="BO21" s="77">
        <v>98.941098610394576</v>
      </c>
      <c r="BP21" s="77">
        <v>1.0589013896054253</v>
      </c>
      <c r="BQ21" s="77">
        <v>0</v>
      </c>
      <c r="BR21" s="27">
        <v>1.0589013896054253</v>
      </c>
      <c r="BS21" s="28"/>
      <c r="BT21" s="557"/>
      <c r="BU21" s="557"/>
      <c r="BV21" s="557"/>
      <c r="BW21" s="557"/>
      <c r="BZ21" s="29"/>
    </row>
    <row r="22" spans="1:78" s="41" customFormat="1" ht="14.4" customHeight="1" x14ac:dyDescent="0.3">
      <c r="A22" s="23" t="s">
        <v>88</v>
      </c>
      <c r="B22" s="41" t="s">
        <v>89</v>
      </c>
      <c r="C22" s="41" t="s">
        <v>122</v>
      </c>
      <c r="D22" s="511" t="s">
        <v>123</v>
      </c>
      <c r="E22" s="205" t="s">
        <v>200</v>
      </c>
      <c r="F22" s="128" t="s">
        <v>698</v>
      </c>
      <c r="G22" s="128" t="s">
        <v>211</v>
      </c>
      <c r="H22" s="128"/>
      <c r="I22" s="126" t="s">
        <v>201</v>
      </c>
      <c r="J22" s="126"/>
      <c r="K22" s="184">
        <v>16</v>
      </c>
      <c r="L22" s="146">
        <v>-13.175289060635905</v>
      </c>
      <c r="M22" s="146">
        <v>-24.989079325403665</v>
      </c>
      <c r="N22" s="146">
        <v>-5.7328735322098794</v>
      </c>
      <c r="O22" s="146">
        <v>-21.338220278911876</v>
      </c>
      <c r="P22" s="146">
        <v>-34.549407855676776</v>
      </c>
      <c r="Q22" s="146">
        <v>-8.0334691289676101</v>
      </c>
      <c r="R22" s="146">
        <v>-17.94821220717175</v>
      </c>
      <c r="S22" s="146">
        <v>-31.674847499464732</v>
      </c>
      <c r="T22" s="146">
        <v>-6.6701010013310764</v>
      </c>
      <c r="U22" s="109">
        <v>0</v>
      </c>
      <c r="V22" s="109">
        <v>0</v>
      </c>
      <c r="W22" s="109">
        <v>0</v>
      </c>
      <c r="X22" s="109">
        <v>-4</v>
      </c>
      <c r="Y22" s="109">
        <v>-17.296181630546954</v>
      </c>
      <c r="Z22" s="109">
        <v>-0.50887021475256233</v>
      </c>
      <c r="AA22" s="109">
        <v>-6.8571428571428612</v>
      </c>
      <c r="AB22" s="109">
        <v>-20.867167919799499</v>
      </c>
      <c r="AC22" s="109">
        <v>-2.9181286549707579</v>
      </c>
      <c r="AD22" s="120">
        <v>36.567226198916799</v>
      </c>
      <c r="AE22" s="113">
        <v>40.751204914958919</v>
      </c>
      <c r="AF22" s="113">
        <v>22.681568886124278</v>
      </c>
      <c r="AG22" s="121">
        <v>63.432773801083201</v>
      </c>
      <c r="AH22" s="41">
        <v>-10.974391999687001</v>
      </c>
      <c r="AI22" s="41">
        <v>-20.116763379027731</v>
      </c>
      <c r="AJ22" s="41">
        <v>-4.9010840108925322</v>
      </c>
      <c r="AK22" s="41">
        <v>-18.429208511396808</v>
      </c>
      <c r="AL22" s="41">
        <v>-31.447413944467769</v>
      </c>
      <c r="AM22" s="41">
        <v>-6.7492059789384768</v>
      </c>
      <c r="AN22" s="41">
        <v>-16.18749455841261</v>
      </c>
      <c r="AO22" s="41">
        <v>-30.008912504230025</v>
      </c>
      <c r="AP22" s="41">
        <v>-6.2913785642507349</v>
      </c>
      <c r="AQ22" s="109">
        <v>0</v>
      </c>
      <c r="AR22" s="109">
        <v>0</v>
      </c>
      <c r="AS22" s="109">
        <v>0</v>
      </c>
      <c r="AT22" s="109">
        <v>-4</v>
      </c>
      <c r="AU22" s="109">
        <v>-17.296181630546954</v>
      </c>
      <c r="AV22" s="109">
        <v>-0.50887021475256233</v>
      </c>
      <c r="AW22" s="109">
        <v>-6.8571428571428612</v>
      </c>
      <c r="AX22" s="109">
        <v>-20.867167919799499</v>
      </c>
      <c r="AY22" s="109">
        <v>-2.9181286549707579</v>
      </c>
      <c r="AZ22" s="117">
        <v>49.963990917736226</v>
      </c>
      <c r="BA22" s="60">
        <v>27.354440196139496</v>
      </c>
      <c r="BB22" s="60">
        <v>22.681568886124278</v>
      </c>
      <c r="BC22" s="59">
        <v>50.036009082263774</v>
      </c>
      <c r="BD22" s="518" t="s">
        <v>92</v>
      </c>
      <c r="BE22" s="77">
        <v>0.83230325500000002</v>
      </c>
      <c r="BF22" s="77">
        <v>13.28526301</v>
      </c>
      <c r="BG22" s="77">
        <v>27.126768299999998</v>
      </c>
      <c r="BH22" s="77">
        <v>19.373712399999999</v>
      </c>
      <c r="BI22" s="77">
        <v>3.11907705</v>
      </c>
      <c r="BJ22" s="70">
        <v>99.167696745000001</v>
      </c>
      <c r="BK22" s="59">
        <v>49.963990917736226</v>
      </c>
      <c r="BL22" s="59">
        <v>27.354440196139496</v>
      </c>
      <c r="BM22" s="59">
        <v>22.681568886124278</v>
      </c>
      <c r="BN22" s="60">
        <v>50.036009082263774</v>
      </c>
      <c r="BO22" s="77">
        <v>8.7928394416157261</v>
      </c>
      <c r="BP22" s="77">
        <v>40.751204914958919</v>
      </c>
      <c r="BQ22" s="77">
        <v>50.455955643425355</v>
      </c>
      <c r="BR22" s="27">
        <v>91.207160558384274</v>
      </c>
      <c r="BS22" s="28"/>
      <c r="BT22" s="557"/>
      <c r="BU22" s="557"/>
      <c r="BV22" s="557"/>
      <c r="BW22" s="557"/>
      <c r="BZ22" s="29"/>
    </row>
    <row r="23" spans="1:78" s="41" customFormat="1" ht="14.4" customHeight="1" x14ac:dyDescent="0.3">
      <c r="A23" s="23" t="s">
        <v>88</v>
      </c>
      <c r="B23" s="41" t="s">
        <v>89</v>
      </c>
      <c r="C23" s="41" t="s">
        <v>124</v>
      </c>
      <c r="D23" s="511" t="s">
        <v>125</v>
      </c>
      <c r="E23" s="205" t="s">
        <v>200</v>
      </c>
      <c r="F23" s="128" t="s">
        <v>698</v>
      </c>
      <c r="G23" s="128" t="s">
        <v>211</v>
      </c>
      <c r="H23" s="128"/>
      <c r="I23" s="126" t="s">
        <v>201</v>
      </c>
      <c r="J23" s="126"/>
      <c r="K23" s="184">
        <v>17</v>
      </c>
      <c r="L23" s="146">
        <v>-11.290701689961921</v>
      </c>
      <c r="M23" s="146">
        <v>-19.541296905407776</v>
      </c>
      <c r="N23" s="146">
        <v>-5.1865831776728299</v>
      </c>
      <c r="O23" s="146">
        <v>-21.46848534437828</v>
      </c>
      <c r="P23" s="146">
        <v>-33.332418343432423</v>
      </c>
      <c r="Q23" s="146">
        <v>-9.6661918345117499</v>
      </c>
      <c r="R23" s="146">
        <v>-13.797374820182696</v>
      </c>
      <c r="S23" s="146">
        <v>-27.753981574719901</v>
      </c>
      <c r="T23" s="146">
        <v>-1.8629456402628364</v>
      </c>
      <c r="U23" s="109">
        <v>0</v>
      </c>
      <c r="V23" s="109">
        <v>0</v>
      </c>
      <c r="W23" s="109">
        <v>0</v>
      </c>
      <c r="X23" s="109">
        <v>-5.8571428571428612</v>
      </c>
      <c r="Y23" s="109">
        <v>-20.607106000294863</v>
      </c>
      <c r="Z23" s="109">
        <v>-2.565826330532218</v>
      </c>
      <c r="AA23" s="109">
        <v>-4.8571428571428612</v>
      </c>
      <c r="AB23" s="109">
        <v>-19.057644110275689</v>
      </c>
      <c r="AC23" s="109">
        <v>0.14536340852129115</v>
      </c>
      <c r="AD23" s="120">
        <v>46.912437652382557</v>
      </c>
      <c r="AE23" s="113">
        <v>31.929662194707575</v>
      </c>
      <c r="AF23" s="113">
        <v>21.157900152909868</v>
      </c>
      <c r="AG23" s="121">
        <v>53.087562347617443</v>
      </c>
      <c r="AH23" s="41">
        <v>-9.824302389172459</v>
      </c>
      <c r="AI23" s="41">
        <v>-16.617427784408491</v>
      </c>
      <c r="AJ23" s="41">
        <v>-4.7009980237516942</v>
      </c>
      <c r="AK23" s="41">
        <v>-19.377272428469823</v>
      </c>
      <c r="AL23" s="41">
        <v>-31.539312846866821</v>
      </c>
      <c r="AM23" s="41">
        <v>-8.8374646008759612</v>
      </c>
      <c r="AN23" s="41">
        <v>-12.700763169157526</v>
      </c>
      <c r="AO23" s="41">
        <v>-26.766668645880259</v>
      </c>
      <c r="AP23" s="41">
        <v>-1.8223249631333687</v>
      </c>
      <c r="AQ23" s="109">
        <v>0</v>
      </c>
      <c r="AR23" s="109">
        <v>0</v>
      </c>
      <c r="AS23" s="109">
        <v>0</v>
      </c>
      <c r="AT23" s="109">
        <v>-5.8571428571428612</v>
      </c>
      <c r="AU23" s="109">
        <v>-20.607106000294863</v>
      </c>
      <c r="AV23" s="109">
        <v>-2.565826330532218</v>
      </c>
      <c r="AW23" s="109">
        <v>-4.8571428571428612</v>
      </c>
      <c r="AX23" s="109">
        <v>-19.057644110275689</v>
      </c>
      <c r="AY23" s="109">
        <v>0.14536340852129115</v>
      </c>
      <c r="AZ23" s="117">
        <v>55.838346439796702</v>
      </c>
      <c r="BA23" s="60">
        <v>23.003753407293427</v>
      </c>
      <c r="BB23" s="60">
        <v>21.157900152909868</v>
      </c>
      <c r="BC23" s="59">
        <v>44.161653560203291</v>
      </c>
      <c r="BD23" s="518" t="s">
        <v>92</v>
      </c>
      <c r="BE23" s="77">
        <v>0.29221777900000001</v>
      </c>
      <c r="BF23" s="77">
        <v>8.8998256950000005</v>
      </c>
      <c r="BG23" s="77">
        <v>22.93653235</v>
      </c>
      <c r="BH23" s="77">
        <v>19.906695379999999</v>
      </c>
      <c r="BI23" s="77">
        <v>1.189377627</v>
      </c>
      <c r="BJ23" s="70">
        <v>99.707782221000002</v>
      </c>
      <c r="BK23" s="59">
        <v>55.838346439796702</v>
      </c>
      <c r="BL23" s="59">
        <v>23.003753407293427</v>
      </c>
      <c r="BM23" s="59">
        <v>21.157900152909868</v>
      </c>
      <c r="BN23" s="60">
        <v>44.161653560203291</v>
      </c>
      <c r="BO23" s="77">
        <v>23.779257834904556</v>
      </c>
      <c r="BP23" s="77">
        <v>31.929662194707575</v>
      </c>
      <c r="BQ23" s="77">
        <v>44.291079970387869</v>
      </c>
      <c r="BR23" s="27">
        <v>76.220742165095444</v>
      </c>
      <c r="BS23" s="28"/>
      <c r="BT23" s="557"/>
      <c r="BU23" s="557"/>
      <c r="BV23" s="557"/>
      <c r="BW23" s="557"/>
      <c r="BZ23" s="29"/>
    </row>
    <row r="24" spans="1:78" s="41" customFormat="1" ht="14.4" customHeight="1" x14ac:dyDescent="0.3">
      <c r="A24" s="23" t="s">
        <v>88</v>
      </c>
      <c r="B24" s="41" t="s">
        <v>89</v>
      </c>
      <c r="C24" s="41" t="s">
        <v>151</v>
      </c>
      <c r="D24" s="511" t="s">
        <v>152</v>
      </c>
      <c r="E24" s="205" t="s">
        <v>186</v>
      </c>
      <c r="F24" s="128" t="s">
        <v>700</v>
      </c>
      <c r="G24" s="128" t="s">
        <v>211</v>
      </c>
      <c r="H24" s="128"/>
      <c r="I24" s="136" t="s">
        <v>188</v>
      </c>
      <c r="J24" s="136"/>
      <c r="K24" s="184"/>
      <c r="L24" s="109"/>
      <c r="M24" s="109"/>
      <c r="N24" s="109"/>
      <c r="O24" s="110"/>
      <c r="P24" s="110"/>
      <c r="Q24" s="110"/>
      <c r="R24" s="110"/>
      <c r="S24" s="110"/>
      <c r="T24" s="110"/>
      <c r="U24" s="110"/>
      <c r="V24" s="110"/>
      <c r="W24" s="110"/>
      <c r="X24" s="110"/>
      <c r="Y24" s="110"/>
      <c r="Z24" s="110"/>
      <c r="AA24" s="110"/>
      <c r="AB24" s="110"/>
      <c r="AC24" s="110"/>
      <c r="AD24" s="120">
        <v>91.391843293999997</v>
      </c>
      <c r="AE24" s="113">
        <v>8.2026168790000007</v>
      </c>
      <c r="AF24" s="113">
        <v>0.40553982699999996</v>
      </c>
      <c r="AG24" s="121">
        <v>8.6081567060000008</v>
      </c>
      <c r="AK24" s="110"/>
      <c r="AL24" s="110"/>
      <c r="AM24" s="110"/>
      <c r="AN24" s="110"/>
      <c r="AO24" s="110"/>
      <c r="AP24" s="110"/>
      <c r="AQ24" s="110"/>
      <c r="AR24" s="110"/>
      <c r="AS24" s="110"/>
      <c r="AT24" s="110"/>
      <c r="AU24" s="110"/>
      <c r="AV24" s="110"/>
      <c r="AW24" s="110"/>
      <c r="AX24" s="110"/>
      <c r="AY24" s="110"/>
      <c r="AZ24" s="117">
        <v>98.052643661000005</v>
      </c>
      <c r="BA24" s="60">
        <v>1.541816512</v>
      </c>
      <c r="BB24" s="60">
        <v>0.40553982699999996</v>
      </c>
      <c r="BC24" s="59">
        <v>1.9473563389999999</v>
      </c>
      <c r="BD24" s="518" t="s">
        <v>92</v>
      </c>
      <c r="BE24" s="77">
        <v>0</v>
      </c>
      <c r="BF24" s="77">
        <v>6.6608003670000002</v>
      </c>
      <c r="BG24" s="77">
        <v>1.541816512</v>
      </c>
      <c r="BH24" s="77">
        <v>0.29841609899999999</v>
      </c>
      <c r="BI24" s="77">
        <v>0.107123728</v>
      </c>
      <c r="BJ24" s="70">
        <v>100</v>
      </c>
      <c r="BK24" s="59">
        <v>98.052643661000005</v>
      </c>
      <c r="BL24" s="59">
        <v>1.541816512</v>
      </c>
      <c r="BM24" s="59">
        <v>0.40553982699999996</v>
      </c>
      <c r="BN24" s="60">
        <v>1.9473563389999999</v>
      </c>
      <c r="BO24" s="77">
        <v>89.850026782</v>
      </c>
      <c r="BP24" s="77">
        <v>8.2026168790000007</v>
      </c>
      <c r="BQ24" s="77">
        <v>1.9473563389999999</v>
      </c>
      <c r="BR24" s="27">
        <v>10.149973218000001</v>
      </c>
      <c r="BS24" s="28"/>
      <c r="BT24" s="557"/>
      <c r="BU24" s="557"/>
      <c r="BV24" s="557"/>
      <c r="BW24" s="557"/>
      <c r="BZ24" s="29"/>
    </row>
    <row r="25" spans="1:78" s="41" customFormat="1" ht="14.4" customHeight="1" x14ac:dyDescent="0.3">
      <c r="A25" s="23" t="s">
        <v>88</v>
      </c>
      <c r="B25" s="41" t="s">
        <v>89</v>
      </c>
      <c r="C25" s="41" t="s">
        <v>126</v>
      </c>
      <c r="D25" s="511" t="s">
        <v>127</v>
      </c>
      <c r="E25" s="205" t="s">
        <v>200</v>
      </c>
      <c r="F25" s="128" t="s">
        <v>698</v>
      </c>
      <c r="G25" s="128" t="s">
        <v>211</v>
      </c>
      <c r="H25" s="128"/>
      <c r="I25" s="126" t="s">
        <v>201</v>
      </c>
      <c r="J25" s="126"/>
      <c r="K25" s="184">
        <v>18</v>
      </c>
      <c r="L25" s="146">
        <v>-5.2159037545301175</v>
      </c>
      <c r="M25" s="146">
        <v>-10.965920248150098</v>
      </c>
      <c r="N25" s="146">
        <v>-2.0359546116336134</v>
      </c>
      <c r="O25" s="146">
        <v>-12.375831450283826</v>
      </c>
      <c r="P25" s="146">
        <v>-25.857382573206266</v>
      </c>
      <c r="Q25" s="146">
        <v>-3.7232217428572056</v>
      </c>
      <c r="R25" s="146">
        <v>-9.1888565908828355</v>
      </c>
      <c r="S25" s="146">
        <v>-24.826975727911076</v>
      </c>
      <c r="T25" s="146">
        <v>-1.5600955189352561</v>
      </c>
      <c r="U25" s="109">
        <v>0</v>
      </c>
      <c r="V25" s="109">
        <v>0</v>
      </c>
      <c r="W25" s="109">
        <v>0</v>
      </c>
      <c r="X25" s="109">
        <v>-3.7142857142857082</v>
      </c>
      <c r="Y25" s="109">
        <v>-17.447308748060621</v>
      </c>
      <c r="Z25" s="109">
        <v>0.11111111111111427</v>
      </c>
      <c r="AA25" s="109">
        <v>-5.5714285714285694</v>
      </c>
      <c r="AB25" s="109">
        <v>-20.982814178302903</v>
      </c>
      <c r="AC25" s="109">
        <v>-0.51450053705693222</v>
      </c>
      <c r="AD25" s="120">
        <v>69.878327158519511</v>
      </c>
      <c r="AE25" s="113">
        <v>23.145144558400034</v>
      </c>
      <c r="AF25" s="113">
        <v>6.9765282830804614</v>
      </c>
      <c r="AG25" s="121">
        <v>30.121672841480496</v>
      </c>
      <c r="AH25" s="41">
        <v>-3.963814891854696</v>
      </c>
      <c r="AI25" s="41">
        <v>-8.0420414007633241</v>
      </c>
      <c r="AJ25" s="41">
        <v>-1.6080699022599418</v>
      </c>
      <c r="AK25" s="41">
        <v>-10.157845464973079</v>
      </c>
      <c r="AL25" s="41">
        <v>-23.714612926538493</v>
      </c>
      <c r="AM25" s="41">
        <v>-2.8160905711996094</v>
      </c>
      <c r="AN25" s="41">
        <v>-8.4018293057725657</v>
      </c>
      <c r="AO25" s="41">
        <v>-23.94919588736596</v>
      </c>
      <c r="AP25" s="41">
        <v>-1.4290825266321576</v>
      </c>
      <c r="AQ25" s="109">
        <v>0</v>
      </c>
      <c r="AR25" s="109">
        <v>0</v>
      </c>
      <c r="AS25" s="109">
        <v>0</v>
      </c>
      <c r="AT25" s="109">
        <v>-3.7142857142857082</v>
      </c>
      <c r="AU25" s="109">
        <v>-17.447308748060621</v>
      </c>
      <c r="AV25" s="109">
        <v>0.11111111111111427</v>
      </c>
      <c r="AW25" s="109">
        <v>-5.5714285714285694</v>
      </c>
      <c r="AX25" s="109">
        <v>-20.982814178302903</v>
      </c>
      <c r="AY25" s="109">
        <v>-0.51450053705693222</v>
      </c>
      <c r="AZ25" s="117">
        <v>78.225586243022335</v>
      </c>
      <c r="BA25" s="60">
        <v>14.797885473897207</v>
      </c>
      <c r="BB25" s="60">
        <v>6.9765282830804614</v>
      </c>
      <c r="BC25" s="59">
        <v>21.774413756977669</v>
      </c>
      <c r="BD25" s="518" t="s">
        <v>92</v>
      </c>
      <c r="BE25" s="77">
        <v>0.26307619399999999</v>
      </c>
      <c r="BF25" s="77">
        <v>8.3252994329999996</v>
      </c>
      <c r="BG25" s="77">
        <v>14.758955759999999</v>
      </c>
      <c r="BH25" s="77">
        <v>6.5295184559999999</v>
      </c>
      <c r="BI25" s="77">
        <v>0.42865624200000002</v>
      </c>
      <c r="BJ25" s="70">
        <v>99.736923805999993</v>
      </c>
      <c r="BK25" s="59">
        <v>78.225586243022335</v>
      </c>
      <c r="BL25" s="59">
        <v>14.797885473897207</v>
      </c>
      <c r="BM25" s="59">
        <v>6.9765282830804614</v>
      </c>
      <c r="BN25" s="60">
        <v>21.774413756977669</v>
      </c>
      <c r="BO25" s="77">
        <v>55.023007289423688</v>
      </c>
      <c r="BP25" s="77">
        <v>23.145144558400034</v>
      </c>
      <c r="BQ25" s="77">
        <v>21.831848152176274</v>
      </c>
      <c r="BR25" s="27">
        <v>44.976992710576312</v>
      </c>
      <c r="BS25" s="28"/>
      <c r="BT25" s="557"/>
      <c r="BU25" s="557"/>
      <c r="BV25" s="557"/>
      <c r="BW25" s="557"/>
      <c r="BZ25" s="29"/>
    </row>
    <row r="26" spans="1:78" s="41" customFormat="1" ht="14.4" customHeight="1" x14ac:dyDescent="0.3">
      <c r="A26" s="23" t="s">
        <v>88</v>
      </c>
      <c r="B26" s="41" t="s">
        <v>89</v>
      </c>
      <c r="C26" s="41" t="s">
        <v>128</v>
      </c>
      <c r="D26" s="511" t="s">
        <v>129</v>
      </c>
      <c r="E26" s="205" t="s">
        <v>704</v>
      </c>
      <c r="F26" s="128" t="s">
        <v>705</v>
      </c>
      <c r="G26" s="128" t="s">
        <v>211</v>
      </c>
      <c r="H26" s="128"/>
      <c r="I26" s="126" t="s">
        <v>187</v>
      </c>
      <c r="J26" s="126"/>
      <c r="K26" s="184">
        <v>19</v>
      </c>
      <c r="L26" s="146">
        <v>-2.4855150413830245</v>
      </c>
      <c r="M26" s="146">
        <v>-4.3718805078652849</v>
      </c>
      <c r="N26" s="146">
        <v>-1.2894575835607895</v>
      </c>
      <c r="O26" s="146">
        <v>-6.9365279551843315</v>
      </c>
      <c r="P26" s="146">
        <v>-17.875300262362913</v>
      </c>
      <c r="Q26" s="146">
        <v>-2.1083103518665638</v>
      </c>
      <c r="R26" s="146">
        <v>-6.3132852532856418</v>
      </c>
      <c r="S26" s="146">
        <v>-19.048209093917819</v>
      </c>
      <c r="T26" s="146">
        <v>-1.5002901240869164</v>
      </c>
      <c r="U26" s="109">
        <v>0</v>
      </c>
      <c r="V26" s="109">
        <v>0</v>
      </c>
      <c r="W26" s="109">
        <v>0</v>
      </c>
      <c r="X26" s="109">
        <v>-3.4285714285714306</v>
      </c>
      <c r="Y26" s="109">
        <v>-13.742093328559491</v>
      </c>
      <c r="Z26" s="109">
        <v>-0.2857142857142918</v>
      </c>
      <c r="AA26" s="109">
        <v>-4.8571428571428612</v>
      </c>
      <c r="AB26" s="109">
        <v>-17.228512457614627</v>
      </c>
      <c r="AC26" s="109">
        <v>-0.56332006486805142</v>
      </c>
      <c r="AD26" s="120">
        <v>88.712489335596061</v>
      </c>
      <c r="AE26" s="113">
        <v>5.1003375495563272</v>
      </c>
      <c r="AF26" s="113">
        <v>6.1871731148476155</v>
      </c>
      <c r="AG26" s="121">
        <v>11.287510664403943</v>
      </c>
      <c r="AH26" s="41">
        <v>-2.0631011113113402</v>
      </c>
      <c r="AI26" s="41">
        <v>-3.4694723620107055</v>
      </c>
      <c r="AJ26" s="41">
        <v>-1.1259614198887107</v>
      </c>
      <c r="AK26" s="41">
        <v>-6.3719934505090947</v>
      </c>
      <c r="AL26" s="41">
        <v>-17.072543401239741</v>
      </c>
      <c r="AM26" s="41">
        <v>-1.7900429804329434</v>
      </c>
      <c r="AN26" s="41">
        <v>-6.1277389475532118</v>
      </c>
      <c r="AO26" s="41">
        <v>-18.83035117606579</v>
      </c>
      <c r="AP26" s="41">
        <v>-1.4202586894030418</v>
      </c>
      <c r="AQ26" s="109">
        <v>0</v>
      </c>
      <c r="AR26" s="109">
        <v>0</v>
      </c>
      <c r="AS26" s="109">
        <v>0</v>
      </c>
      <c r="AT26" s="109">
        <v>-3.4285714285714306</v>
      </c>
      <c r="AU26" s="109">
        <v>-13.742093328559491</v>
      </c>
      <c r="AV26" s="109">
        <v>-0.2857142857142918</v>
      </c>
      <c r="AW26" s="109">
        <v>-4.8571428571428612</v>
      </c>
      <c r="AX26" s="109">
        <v>-17.228512457614627</v>
      </c>
      <c r="AY26" s="109">
        <v>-0.56332006486805142</v>
      </c>
      <c r="AZ26" s="117">
        <v>91.475944952887431</v>
      </c>
      <c r="BA26" s="60">
        <v>2.3368819322649514</v>
      </c>
      <c r="BB26" s="60">
        <v>6.1871731148476155</v>
      </c>
      <c r="BC26" s="59">
        <v>8.5240550471125669</v>
      </c>
      <c r="BD26" s="518" t="s">
        <v>92</v>
      </c>
      <c r="BE26" s="77">
        <v>0.59365781699999998</v>
      </c>
      <c r="BF26" s="77">
        <v>2.7470501469999999</v>
      </c>
      <c r="BG26" s="77">
        <v>2.3230088499999999</v>
      </c>
      <c r="BH26" s="77">
        <v>3.2485250739999998</v>
      </c>
      <c r="BI26" s="77">
        <v>2.9019174040000002</v>
      </c>
      <c r="BJ26" s="70">
        <v>99.406342183000007</v>
      </c>
      <c r="BK26" s="59">
        <v>91.475944952887431</v>
      </c>
      <c r="BL26" s="59">
        <v>2.3368819322649514</v>
      </c>
      <c r="BM26" s="59">
        <v>6.1871731148476155</v>
      </c>
      <c r="BN26" s="60">
        <v>8.5240550471125669</v>
      </c>
      <c r="BO26" s="77">
        <v>86.324701477208791</v>
      </c>
      <c r="BP26" s="77">
        <v>5.1003375495563272</v>
      </c>
      <c r="BQ26" s="77">
        <v>8.5749609732348748</v>
      </c>
      <c r="BR26" s="27">
        <v>13.675298522791202</v>
      </c>
      <c r="BS26" s="28"/>
      <c r="BT26" s="557"/>
      <c r="BU26" s="557"/>
      <c r="BV26" s="557"/>
      <c r="BW26" s="557"/>
      <c r="BZ26" s="29"/>
    </row>
    <row r="27" spans="1:78" s="41" customFormat="1" ht="14.4" customHeight="1" x14ac:dyDescent="0.3">
      <c r="A27" s="23" t="s">
        <v>88</v>
      </c>
      <c r="B27" s="41" t="s">
        <v>89</v>
      </c>
      <c r="C27" s="41" t="s">
        <v>130</v>
      </c>
      <c r="D27" s="511" t="s">
        <v>131</v>
      </c>
      <c r="E27" s="205" t="s">
        <v>200</v>
      </c>
      <c r="F27" s="128" t="s">
        <v>708</v>
      </c>
      <c r="G27" s="128" t="s">
        <v>211</v>
      </c>
      <c r="H27" s="128"/>
      <c r="I27" s="126" t="s">
        <v>346</v>
      </c>
      <c r="J27" s="135" t="s">
        <v>227</v>
      </c>
      <c r="K27" s="184">
        <v>20</v>
      </c>
      <c r="L27" s="146">
        <v>-10.615348199803634</v>
      </c>
      <c r="M27" s="146">
        <v>-15.463111935199336</v>
      </c>
      <c r="N27" s="146">
        <v>-5.7227081798717165</v>
      </c>
      <c r="O27" s="146">
        <v>-24.165106436838244</v>
      </c>
      <c r="P27" s="146">
        <v>-36.622513542604871</v>
      </c>
      <c r="Q27" s="146">
        <v>-10.547133456456763</v>
      </c>
      <c r="R27" s="146">
        <v>-23.414996544955841</v>
      </c>
      <c r="S27" s="146">
        <v>-39.415608406930438</v>
      </c>
      <c r="T27" s="146">
        <v>-9.0153166836360725</v>
      </c>
      <c r="U27" s="109">
        <v>0</v>
      </c>
      <c r="V27" s="109">
        <v>0</v>
      </c>
      <c r="W27" s="109">
        <v>0</v>
      </c>
      <c r="X27" s="109">
        <v>-11.5</v>
      </c>
      <c r="Y27" s="109">
        <v>-19.442077415761631</v>
      </c>
      <c r="Z27" s="109">
        <v>-1.3613199665831246</v>
      </c>
      <c r="AA27" s="109">
        <v>-14.666666666666671</v>
      </c>
      <c r="AB27" s="109">
        <v>-29.591339459760519</v>
      </c>
      <c r="AC27" s="109">
        <v>-3.9060150375939884</v>
      </c>
      <c r="AD27" s="120">
        <v>61.592302233061126</v>
      </c>
      <c r="AE27" s="113">
        <v>25.005434232445694</v>
      </c>
      <c r="AF27" s="113">
        <v>13.402263534493178</v>
      </c>
      <c r="AG27" s="121">
        <v>38.407697766938874</v>
      </c>
      <c r="AH27" s="41">
        <v>-9.4588713205679085</v>
      </c>
      <c r="AI27" s="41">
        <v>-13.576702895822606</v>
      </c>
      <c r="AJ27" s="41">
        <v>-5.1910291990282644</v>
      </c>
      <c r="AK27" s="41">
        <v>-22.598605936782562</v>
      </c>
      <c r="AL27" s="41">
        <v>-34.331939241020251</v>
      </c>
      <c r="AM27" s="41">
        <v>-9.4499955139273055</v>
      </c>
      <c r="AN27" s="41">
        <v>-22.447761336867757</v>
      </c>
      <c r="AO27" s="41">
        <v>-38.293930353513275</v>
      </c>
      <c r="AP27" s="41">
        <v>-8.5618164884087804</v>
      </c>
      <c r="AQ27" s="109">
        <v>0</v>
      </c>
      <c r="AR27" s="109">
        <v>0</v>
      </c>
      <c r="AS27" s="109">
        <v>0</v>
      </c>
      <c r="AT27" s="109">
        <v>-11.5</v>
      </c>
      <c r="AU27" s="109">
        <v>-19.442077415761631</v>
      </c>
      <c r="AV27" s="109">
        <v>-1.3613199665831246</v>
      </c>
      <c r="AW27" s="109">
        <v>-14.666666666666671</v>
      </c>
      <c r="AX27" s="109">
        <v>-29.591339459760519</v>
      </c>
      <c r="AY27" s="109">
        <v>-3.9060150375939884</v>
      </c>
      <c r="AZ27" s="117">
        <v>67.900357937983316</v>
      </c>
      <c r="BA27" s="60">
        <v>18.697378527523512</v>
      </c>
      <c r="BB27" s="60">
        <v>13.402263534493178</v>
      </c>
      <c r="BC27" s="59">
        <v>32.099642062016692</v>
      </c>
      <c r="BD27" s="518" t="s">
        <v>92</v>
      </c>
      <c r="BE27" s="77">
        <v>1.4748715020000001</v>
      </c>
      <c r="BF27" s="77">
        <v>6.215019989</v>
      </c>
      <c r="BG27" s="77">
        <v>18.421616220000001</v>
      </c>
      <c r="BH27" s="77">
        <v>12.54069103</v>
      </c>
      <c r="BI27" s="77">
        <v>0.66390633899999996</v>
      </c>
      <c r="BJ27" s="70">
        <v>98.525128498000001</v>
      </c>
      <c r="BK27" s="59">
        <v>67.900357937983316</v>
      </c>
      <c r="BL27" s="59">
        <v>18.697378527523512</v>
      </c>
      <c r="BM27" s="59">
        <v>13.402263534493178</v>
      </c>
      <c r="BN27" s="60">
        <v>32.099642062016692</v>
      </c>
      <c r="BO27" s="77">
        <v>42.41440824695966</v>
      </c>
      <c r="BP27" s="77">
        <v>25.005434232445694</v>
      </c>
      <c r="BQ27" s="77">
        <v>32.580157520594646</v>
      </c>
      <c r="BR27" s="27">
        <v>57.58559175304034</v>
      </c>
      <c r="BS27" s="28"/>
      <c r="BT27" s="557"/>
      <c r="BU27" s="557"/>
      <c r="BV27" s="557"/>
      <c r="BW27" s="557"/>
      <c r="BZ27" s="29"/>
    </row>
    <row r="28" spans="1:78" s="41" customFormat="1" ht="14.4" customHeight="1" x14ac:dyDescent="0.3">
      <c r="A28" s="23" t="s">
        <v>88</v>
      </c>
      <c r="B28" s="41" t="s">
        <v>89</v>
      </c>
      <c r="C28" s="41" t="s">
        <v>132</v>
      </c>
      <c r="D28" s="511" t="s">
        <v>133</v>
      </c>
      <c r="E28" s="205" t="s">
        <v>200</v>
      </c>
      <c r="F28" s="128" t="s">
        <v>708</v>
      </c>
      <c r="G28" s="128" t="s">
        <v>211</v>
      </c>
      <c r="H28" s="128"/>
      <c r="I28" s="126" t="s">
        <v>346</v>
      </c>
      <c r="J28" s="135" t="s">
        <v>227</v>
      </c>
      <c r="K28" s="184">
        <v>21</v>
      </c>
      <c r="L28" s="146">
        <v>-38.105667984921979</v>
      </c>
      <c r="M28" s="146">
        <v>-50.722871349409772</v>
      </c>
      <c r="N28" s="146">
        <v>-24.104676093472278</v>
      </c>
      <c r="O28" s="146">
        <v>-53.994488321048081</v>
      </c>
      <c r="P28" s="146">
        <v>-73.835731273293064</v>
      </c>
      <c r="Q28" s="146">
        <v>-35.294932055094307</v>
      </c>
      <c r="R28" s="146">
        <v>-46.276818034051367</v>
      </c>
      <c r="S28" s="146">
        <v>-64.706413237997907</v>
      </c>
      <c r="T28" s="146">
        <v>-25.545159572697685</v>
      </c>
      <c r="U28" s="109">
        <v>0</v>
      </c>
      <c r="V28" s="109">
        <v>0</v>
      </c>
      <c r="W28" s="109">
        <v>0</v>
      </c>
      <c r="X28" s="109">
        <v>-8.1666666666666714</v>
      </c>
      <c r="Y28" s="109">
        <v>-17.830966304650516</v>
      </c>
      <c r="Z28" s="109">
        <v>-0.89835700362016269</v>
      </c>
      <c r="AA28" s="109">
        <v>-12.833333333333329</v>
      </c>
      <c r="AB28" s="109">
        <v>-26.165413533834581</v>
      </c>
      <c r="AC28" s="109">
        <v>-4.0726817042606456</v>
      </c>
      <c r="AD28" s="120">
        <v>2.2458045348999036</v>
      </c>
      <c r="AE28" s="113">
        <v>27.319842056211129</v>
      </c>
      <c r="AF28" s="113">
        <v>70.434353408888967</v>
      </c>
      <c r="AG28" s="121">
        <v>97.754195465100096</v>
      </c>
      <c r="AH28" s="41">
        <v>-35.475691018425692</v>
      </c>
      <c r="AI28" s="41">
        <v>-46.619453871249085</v>
      </c>
      <c r="AJ28" s="41">
        <v>-22.719445989379821</v>
      </c>
      <c r="AK28" s="41">
        <v>-50.198173743322997</v>
      </c>
      <c r="AL28" s="41">
        <v>-68.318444444570289</v>
      </c>
      <c r="AM28" s="41">
        <v>-32.651008023939681</v>
      </c>
      <c r="AN28" s="41">
        <v>-43.806926622037452</v>
      </c>
      <c r="AO28" s="41">
        <v>-61.50017412872829</v>
      </c>
      <c r="AP28" s="41">
        <v>-24.422554606678361</v>
      </c>
      <c r="AQ28" s="109">
        <v>0</v>
      </c>
      <c r="AR28" s="109">
        <v>0</v>
      </c>
      <c r="AS28" s="109">
        <v>0</v>
      </c>
      <c r="AT28" s="109">
        <v>-8.1666666666666714</v>
      </c>
      <c r="AU28" s="109">
        <v>-17.830966304650516</v>
      </c>
      <c r="AV28" s="109">
        <v>-0.89835700362016269</v>
      </c>
      <c r="AW28" s="109">
        <v>-12.833333333333329</v>
      </c>
      <c r="AX28" s="109">
        <v>-26.165413533834581</v>
      </c>
      <c r="AY28" s="109">
        <v>-4.0726817042606456</v>
      </c>
      <c r="AZ28" s="117">
        <v>15.967423490532752</v>
      </c>
      <c r="BA28" s="60">
        <v>13.598223100578281</v>
      </c>
      <c r="BB28" s="60">
        <v>70.434353408888967</v>
      </c>
      <c r="BC28" s="59">
        <v>84.032576509467248</v>
      </c>
      <c r="BD28" s="518" t="s">
        <v>92</v>
      </c>
      <c r="BE28" s="77">
        <v>0.34431874099999998</v>
      </c>
      <c r="BF28" s="77">
        <v>13.674372849999999</v>
      </c>
      <c r="BG28" s="77">
        <v>13.551401869999999</v>
      </c>
      <c r="BH28" s="77">
        <v>27.324151499999999</v>
      </c>
      <c r="BI28" s="77">
        <v>42.867683229999997</v>
      </c>
      <c r="BJ28" s="70">
        <v>99.655681259000005</v>
      </c>
      <c r="BK28" s="59">
        <v>15.967423490532752</v>
      </c>
      <c r="BL28" s="59">
        <v>13.598223100578281</v>
      </c>
      <c r="BM28" s="59">
        <v>70.434353408888967</v>
      </c>
      <c r="BN28" s="60">
        <v>84.032576509467248</v>
      </c>
      <c r="BO28" s="77">
        <v>-11.642758168811767</v>
      </c>
      <c r="BP28" s="77">
        <v>27.319842056211129</v>
      </c>
      <c r="BQ28" s="77">
        <v>84.322916112600637</v>
      </c>
      <c r="BR28" s="27">
        <v>111.64275816881177</v>
      </c>
      <c r="BS28" s="28"/>
      <c r="BT28" s="557"/>
      <c r="BU28" s="557"/>
      <c r="BV28" s="557"/>
      <c r="BW28" s="557"/>
      <c r="BZ28" s="29"/>
    </row>
    <row r="29" spans="1:78" s="41" customFormat="1" ht="14.4" customHeight="1" x14ac:dyDescent="0.3">
      <c r="A29" s="23" t="s">
        <v>88</v>
      </c>
      <c r="B29" s="41" t="s">
        <v>89</v>
      </c>
      <c r="C29" s="41" t="s">
        <v>134</v>
      </c>
      <c r="D29" s="511" t="s">
        <v>135</v>
      </c>
      <c r="E29" s="205" t="s">
        <v>200</v>
      </c>
      <c r="F29" s="128" t="s">
        <v>708</v>
      </c>
      <c r="G29" s="128" t="s">
        <v>211</v>
      </c>
      <c r="H29" s="128"/>
      <c r="I29" s="126" t="s">
        <v>346</v>
      </c>
      <c r="J29" s="135" t="s">
        <v>227</v>
      </c>
      <c r="K29" s="184">
        <v>22</v>
      </c>
      <c r="L29" s="146">
        <v>-25.124031008368334</v>
      </c>
      <c r="M29" s="146">
        <v>-36.808310232748909</v>
      </c>
      <c r="N29" s="146">
        <v>-12.924535016926995</v>
      </c>
      <c r="O29" s="146">
        <v>-42.164082687942795</v>
      </c>
      <c r="P29" s="146">
        <v>-61.557274590099006</v>
      </c>
      <c r="Q29" s="146">
        <v>-23.472277111226163</v>
      </c>
      <c r="R29" s="146">
        <v>-34.864341085815198</v>
      </c>
      <c r="S29" s="146">
        <v>-49.570713212757624</v>
      </c>
      <c r="T29" s="146">
        <v>-14.98738530774358</v>
      </c>
      <c r="U29" s="109">
        <v>0</v>
      </c>
      <c r="V29" s="109">
        <v>0</v>
      </c>
      <c r="W29" s="109">
        <v>0</v>
      </c>
      <c r="X29" s="109">
        <v>-9.8333333333333286</v>
      </c>
      <c r="Y29" s="109">
        <v>-19.973823447507655</v>
      </c>
      <c r="Z29" s="109">
        <v>-1.1364522417153893</v>
      </c>
      <c r="AA29" s="109">
        <v>-14.5</v>
      </c>
      <c r="AB29" s="109">
        <v>-32.474937343358391</v>
      </c>
      <c r="AC29" s="109">
        <v>-3.5964912280701782</v>
      </c>
      <c r="AD29" s="120">
        <v>0</v>
      </c>
      <c r="AE29" s="113">
        <v>74.677002581562135</v>
      </c>
      <c r="AF29" s="113">
        <v>25.322997418437858</v>
      </c>
      <c r="AG29" s="121">
        <v>100</v>
      </c>
      <c r="AH29" s="41">
        <v>-20.909560724667642</v>
      </c>
      <c r="AI29" s="41">
        <v>-30.432848808681285</v>
      </c>
      <c r="AJ29" s="41">
        <v>-11.20971866424776</v>
      </c>
      <c r="AK29" s="146">
        <v>-36.293927649931121</v>
      </c>
      <c r="AL29" s="146">
        <v>-53.769287855302757</v>
      </c>
      <c r="AM29" s="146">
        <v>-19.74016474637844</v>
      </c>
      <c r="AN29" s="41">
        <v>-31.552971577193219</v>
      </c>
      <c r="AO29" s="41">
        <v>-47.332388881542258</v>
      </c>
      <c r="AP29" s="41">
        <v>-13.543423740572493</v>
      </c>
      <c r="AQ29" s="109">
        <v>0</v>
      </c>
      <c r="AR29" s="109">
        <v>0</v>
      </c>
      <c r="AS29" s="109">
        <v>0</v>
      </c>
      <c r="AT29" s="109">
        <v>-9.8333333333333286</v>
      </c>
      <c r="AU29" s="109">
        <v>-19.973823447507655</v>
      </c>
      <c r="AV29" s="109">
        <v>-1.1364522417153893</v>
      </c>
      <c r="AW29" s="109">
        <v>-14.5</v>
      </c>
      <c r="AX29" s="109">
        <v>-32.474937343358391</v>
      </c>
      <c r="AY29" s="109">
        <v>-3.5964912280701782</v>
      </c>
      <c r="AZ29" s="117">
        <v>22.577519376967984</v>
      </c>
      <c r="BA29" s="60">
        <v>52.099483204594158</v>
      </c>
      <c r="BB29" s="60">
        <v>25.322997418437858</v>
      </c>
      <c r="BC29" s="59">
        <v>77.422480623032016</v>
      </c>
      <c r="BD29" s="518" t="s">
        <v>92</v>
      </c>
      <c r="BE29" s="77">
        <v>1.65184244</v>
      </c>
      <c r="BF29" s="77">
        <v>22.20457433</v>
      </c>
      <c r="BG29" s="77">
        <v>51.238881829999997</v>
      </c>
      <c r="BH29" s="77">
        <v>21.982210930000001</v>
      </c>
      <c r="BI29" s="77">
        <v>2.9224904700000001</v>
      </c>
      <c r="BJ29" s="70">
        <v>98.348157560000004</v>
      </c>
      <c r="BK29" s="59">
        <v>22.577519376967984</v>
      </c>
      <c r="BL29" s="59">
        <v>52.099483204594158</v>
      </c>
      <c r="BM29" s="59">
        <v>25.322997418437858</v>
      </c>
      <c r="BN29" s="60">
        <v>77.422480623032016</v>
      </c>
      <c r="BO29" s="77">
        <v>-53.399860786402726</v>
      </c>
      <c r="BP29" s="77">
        <v>74.677002581562135</v>
      </c>
      <c r="BQ29" s="77">
        <v>78.722858204840591</v>
      </c>
      <c r="BR29" s="27">
        <v>153.39986078640271</v>
      </c>
      <c r="BS29" s="28"/>
      <c r="BT29" s="557"/>
      <c r="BU29" s="557"/>
      <c r="BV29" s="557"/>
      <c r="BW29" s="557"/>
      <c r="BZ29" s="29"/>
    </row>
    <row r="30" spans="1:78" s="41" customFormat="1" ht="14.4" customHeight="1" x14ac:dyDescent="0.3">
      <c r="A30" s="23" t="s">
        <v>88</v>
      </c>
      <c r="B30" s="41" t="s">
        <v>89</v>
      </c>
      <c r="C30" s="41" t="s">
        <v>136</v>
      </c>
      <c r="D30" s="511" t="s">
        <v>137</v>
      </c>
      <c r="E30" s="205" t="s">
        <v>200</v>
      </c>
      <c r="F30" s="128" t="s">
        <v>698</v>
      </c>
      <c r="G30" s="128" t="s">
        <v>211</v>
      </c>
      <c r="H30" s="128"/>
      <c r="I30" s="126" t="s">
        <v>201</v>
      </c>
      <c r="J30" s="126"/>
      <c r="K30" s="184">
        <v>23</v>
      </c>
      <c r="L30" s="146">
        <v>-19.589523064504164</v>
      </c>
      <c r="M30" s="146">
        <v>-32.25147353651451</v>
      </c>
      <c r="N30" s="146">
        <v>-10.149028910205516</v>
      </c>
      <c r="O30" s="146">
        <v>-33.311403998094235</v>
      </c>
      <c r="P30" s="146">
        <v>-49.868133302757322</v>
      </c>
      <c r="Q30" s="146">
        <v>-17.762864568130027</v>
      </c>
      <c r="R30" s="146">
        <v>-21.883614430502234</v>
      </c>
      <c r="S30" s="146">
        <v>-37.255925921754077</v>
      </c>
      <c r="T30" s="146">
        <v>-5.4945576433503334</v>
      </c>
      <c r="U30" s="109">
        <v>0</v>
      </c>
      <c r="V30" s="109">
        <v>0</v>
      </c>
      <c r="W30" s="109">
        <v>0</v>
      </c>
      <c r="X30" s="109">
        <v>-8.4285714285714306</v>
      </c>
      <c r="Y30" s="109">
        <v>-19.569399689700447</v>
      </c>
      <c r="Z30" s="109">
        <v>-2.1720969089386699E-2</v>
      </c>
      <c r="AA30" s="109">
        <v>-6</v>
      </c>
      <c r="AB30" s="109">
        <v>-24.862871464375218</v>
      </c>
      <c r="AC30" s="109">
        <v>0.2778374507697805</v>
      </c>
      <c r="AD30" s="120">
        <v>24.628616107021685</v>
      </c>
      <c r="AE30" s="113">
        <v>45.269741986921666</v>
      </c>
      <c r="AF30" s="113">
        <v>30.101641906056649</v>
      </c>
      <c r="AG30" s="121">
        <v>75.371383892978315</v>
      </c>
      <c r="AH30" s="41">
        <v>-16.548084439998121</v>
      </c>
      <c r="AI30" s="41">
        <v>-26.69692302095504</v>
      </c>
      <c r="AJ30" s="41">
        <v>-8.9524132817083739</v>
      </c>
      <c r="AK30" s="41">
        <v>-29.748575895101425</v>
      </c>
      <c r="AL30" s="41">
        <v>-44.806732150517327</v>
      </c>
      <c r="AM30" s="41">
        <v>-15.60612559268813</v>
      </c>
      <c r="AN30" s="41">
        <v>-19.841505639762445</v>
      </c>
      <c r="AO30" s="41">
        <v>-36.240428376506884</v>
      </c>
      <c r="AP30" s="41">
        <v>-5.3555499148054224</v>
      </c>
      <c r="AQ30" s="109">
        <v>0</v>
      </c>
      <c r="AR30" s="109">
        <v>0</v>
      </c>
      <c r="AS30" s="109">
        <v>0</v>
      </c>
      <c r="AT30" s="109">
        <v>-8.4285714285714306</v>
      </c>
      <c r="AU30" s="109">
        <v>-19.569399689700447</v>
      </c>
      <c r="AV30" s="109">
        <v>-2.1720969089386699E-2</v>
      </c>
      <c r="AW30" s="109">
        <v>-6</v>
      </c>
      <c r="AX30" s="109">
        <v>-24.862871464375218</v>
      </c>
      <c r="AY30" s="109">
        <v>0.2778374507697805</v>
      </c>
      <c r="AZ30" s="117">
        <v>39.835809229551906</v>
      </c>
      <c r="BA30" s="60">
        <v>30.062548864391449</v>
      </c>
      <c r="BB30" s="60">
        <v>30.101641906056649</v>
      </c>
      <c r="BC30" s="59">
        <v>60.164190770448101</v>
      </c>
      <c r="BD30" s="518" t="s">
        <v>92</v>
      </c>
      <c r="BE30" s="77">
        <v>12.00550396</v>
      </c>
      <c r="BF30" s="77">
        <v>13.38149295</v>
      </c>
      <c r="BG30" s="77">
        <v>26.453388369999999</v>
      </c>
      <c r="BH30" s="77">
        <v>18.57585139</v>
      </c>
      <c r="BI30" s="77">
        <v>7.9119367049999996</v>
      </c>
      <c r="BJ30" s="70">
        <v>87.994496040000001</v>
      </c>
      <c r="BK30" s="59">
        <v>39.835809229551906</v>
      </c>
      <c r="BL30" s="59">
        <v>30.062548864391449</v>
      </c>
      <c r="BM30" s="59">
        <v>30.101641906056649</v>
      </c>
      <c r="BN30" s="60">
        <v>60.164190770448101</v>
      </c>
      <c r="BO30" s="77">
        <v>-13.642416958659702</v>
      </c>
      <c r="BP30" s="77">
        <v>45.269741986921666</v>
      </c>
      <c r="BQ30" s="77">
        <v>68.372674971738036</v>
      </c>
      <c r="BR30" s="27">
        <v>113.64241695865971</v>
      </c>
      <c r="BS30" s="28"/>
      <c r="BT30" s="557"/>
      <c r="BU30" s="557"/>
      <c r="BV30" s="557"/>
      <c r="BW30" s="557" t="s">
        <v>138</v>
      </c>
      <c r="BZ30" s="29"/>
    </row>
    <row r="31" spans="1:78" s="41" customFormat="1" ht="14.4" customHeight="1" x14ac:dyDescent="0.3">
      <c r="A31" s="23" t="s">
        <v>88</v>
      </c>
      <c r="B31" s="41" t="s">
        <v>89</v>
      </c>
      <c r="C31" s="41" t="s">
        <v>153</v>
      </c>
      <c r="D31" s="511" t="s">
        <v>154</v>
      </c>
      <c r="E31" s="205" t="s">
        <v>704</v>
      </c>
      <c r="F31" s="128" t="s">
        <v>706</v>
      </c>
      <c r="G31" s="128" t="s">
        <v>211</v>
      </c>
      <c r="H31" s="128"/>
      <c r="I31" s="136" t="s">
        <v>188</v>
      </c>
      <c r="J31" s="136"/>
      <c r="K31" s="184"/>
      <c r="L31" s="109"/>
      <c r="M31" s="109"/>
      <c r="N31" s="109"/>
      <c r="O31" s="110"/>
      <c r="P31" s="110"/>
      <c r="Q31" s="110"/>
      <c r="R31" s="110"/>
      <c r="S31" s="110"/>
      <c r="T31" s="110"/>
      <c r="U31" s="110"/>
      <c r="V31" s="110"/>
      <c r="W31" s="110"/>
      <c r="X31" s="110"/>
      <c r="Y31" s="110"/>
      <c r="Z31" s="110"/>
      <c r="AA31" s="110"/>
      <c r="AB31" s="110"/>
      <c r="AC31" s="110"/>
      <c r="AD31" s="120">
        <v>41.220116880993139</v>
      </c>
      <c r="AE31" s="113">
        <v>48.399149988983645</v>
      </c>
      <c r="AF31" s="113">
        <v>10.380733130023215</v>
      </c>
      <c r="AG31" s="121">
        <v>58.779883119006861</v>
      </c>
      <c r="AH31" s="109"/>
      <c r="AI31" s="109"/>
      <c r="AJ31" s="109"/>
      <c r="AK31" s="110"/>
      <c r="AL31" s="110"/>
      <c r="AM31" s="110"/>
      <c r="AN31" s="110"/>
      <c r="AO31" s="110"/>
      <c r="AP31" s="110"/>
      <c r="AQ31" s="110"/>
      <c r="AR31" s="110"/>
      <c r="AS31" s="110"/>
      <c r="AT31" s="110"/>
      <c r="AU31" s="110"/>
      <c r="AV31" s="110"/>
      <c r="AW31" s="110"/>
      <c r="AX31" s="110"/>
      <c r="AY31" s="110"/>
      <c r="AZ31" s="117">
        <v>61.023552331470825</v>
      </c>
      <c r="BA31" s="60">
        <v>28.595714538505963</v>
      </c>
      <c r="BB31" s="60">
        <v>10.380733130023215</v>
      </c>
      <c r="BC31" s="59">
        <v>38.976447668529175</v>
      </c>
      <c r="BD31" s="518" t="s">
        <v>92</v>
      </c>
      <c r="BE31" s="77">
        <v>1.136224374</v>
      </c>
      <c r="BF31" s="77">
        <v>19.578423990000001</v>
      </c>
      <c r="BG31" s="77">
        <v>28.270803059999999</v>
      </c>
      <c r="BH31" s="77">
        <v>10.000175069999999</v>
      </c>
      <c r="BI31" s="77">
        <v>0.26260963999999998</v>
      </c>
      <c r="BJ31" s="70">
        <v>98.863775626000006</v>
      </c>
      <c r="BK31" s="59">
        <v>61.023552331470825</v>
      </c>
      <c r="BL31" s="59">
        <v>28.595714538505963</v>
      </c>
      <c r="BM31" s="59">
        <v>10.380733130023215</v>
      </c>
      <c r="BN31" s="60">
        <v>38.976447668529175</v>
      </c>
      <c r="BO31" s="77">
        <v>12.176452731292365</v>
      </c>
      <c r="BP31" s="77">
        <v>48.399149988983645</v>
      </c>
      <c r="BQ31" s="77">
        <v>39.424397279723991</v>
      </c>
      <c r="BR31" s="27">
        <v>87.823547268707642</v>
      </c>
      <c r="BS31" s="28"/>
      <c r="BT31" s="557"/>
      <c r="BU31" s="557"/>
      <c r="BV31" s="557"/>
      <c r="BW31" s="557"/>
      <c r="BZ31" s="29"/>
    </row>
    <row r="32" spans="1:78" s="41" customFormat="1" ht="14.4" customHeight="1" x14ac:dyDescent="0.3">
      <c r="A32" s="23" t="s">
        <v>88</v>
      </c>
      <c r="B32" s="41" t="s">
        <v>89</v>
      </c>
      <c r="C32" s="41" t="s">
        <v>155</v>
      </c>
      <c r="D32" s="511" t="s">
        <v>156</v>
      </c>
      <c r="E32" s="205" t="s">
        <v>704</v>
      </c>
      <c r="F32" s="128" t="s">
        <v>705</v>
      </c>
      <c r="G32" s="128" t="s">
        <v>211</v>
      </c>
      <c r="H32" s="128"/>
      <c r="I32" s="136" t="s">
        <v>187</v>
      </c>
      <c r="J32" s="136"/>
      <c r="K32" s="184"/>
      <c r="L32" s="109"/>
      <c r="M32" s="109"/>
      <c r="N32" s="109"/>
      <c r="O32" s="110"/>
      <c r="P32" s="110"/>
      <c r="Q32" s="110"/>
      <c r="R32" s="110"/>
      <c r="S32" s="110"/>
      <c r="T32" s="110"/>
      <c r="U32" s="110"/>
      <c r="V32" s="110"/>
      <c r="W32" s="110"/>
      <c r="X32" s="110"/>
      <c r="Y32" s="110"/>
      <c r="Z32" s="110"/>
      <c r="AA32" s="110"/>
      <c r="AB32" s="110"/>
      <c r="AC32" s="110"/>
      <c r="AD32" s="120">
        <v>66.08897998499539</v>
      </c>
      <c r="AE32" s="113">
        <v>22.60389161370615</v>
      </c>
      <c r="AF32" s="113">
        <v>11.307128401298451</v>
      </c>
      <c r="AG32" s="121">
        <v>33.911020015004603</v>
      </c>
      <c r="AH32" s="109"/>
      <c r="AI32" s="109"/>
      <c r="AJ32" s="109"/>
      <c r="AK32" s="110"/>
      <c r="AL32" s="110"/>
      <c r="AM32" s="110"/>
      <c r="AN32" s="110"/>
      <c r="AO32" s="110"/>
      <c r="AP32" s="110"/>
      <c r="AQ32" s="110"/>
      <c r="AR32" s="110"/>
      <c r="AS32" s="110"/>
      <c r="AT32" s="110"/>
      <c r="AU32" s="110"/>
      <c r="AV32" s="110"/>
      <c r="AW32" s="110"/>
      <c r="AX32" s="110"/>
      <c r="AY32" s="110"/>
      <c r="AZ32" s="117">
        <v>73.620069081932357</v>
      </c>
      <c r="BA32" s="60">
        <v>15.072802516769181</v>
      </c>
      <c r="BB32" s="60">
        <v>11.307128401298451</v>
      </c>
      <c r="BC32" s="59">
        <v>26.379930918067632</v>
      </c>
      <c r="BD32" s="518" t="s">
        <v>92</v>
      </c>
      <c r="BE32" s="77">
        <v>0.75250814600000004</v>
      </c>
      <c r="BF32" s="77">
        <v>7.4744170380000003</v>
      </c>
      <c r="BG32" s="77">
        <v>14.959378450000001</v>
      </c>
      <c r="BH32" s="77">
        <v>9.1892920609999997</v>
      </c>
      <c r="BI32" s="77">
        <v>2.0327492779999998</v>
      </c>
      <c r="BJ32" s="70">
        <v>99.247491854000003</v>
      </c>
      <c r="BK32" s="59">
        <v>73.620069081932357</v>
      </c>
      <c r="BL32" s="59">
        <v>15.072802516769181</v>
      </c>
      <c r="BM32" s="59">
        <v>11.307128401298451</v>
      </c>
      <c r="BN32" s="60">
        <v>26.379930918067632</v>
      </c>
      <c r="BO32" s="77">
        <v>50.816161200450246</v>
      </c>
      <c r="BP32" s="77">
        <v>22.60389161370615</v>
      </c>
      <c r="BQ32" s="77">
        <v>26.579947185843601</v>
      </c>
      <c r="BR32" s="27">
        <v>49.183838799549747</v>
      </c>
      <c r="BS32" s="28"/>
      <c r="BT32" s="557"/>
      <c r="BU32" s="557"/>
      <c r="BV32" s="557"/>
      <c r="BW32" s="557"/>
      <c r="BZ32" s="29"/>
    </row>
    <row r="33" spans="1:78" s="41" customFormat="1" ht="14.4" customHeight="1" x14ac:dyDescent="0.3">
      <c r="A33" s="23" t="s">
        <v>88</v>
      </c>
      <c r="B33" s="41" t="s">
        <v>89</v>
      </c>
      <c r="C33" s="41" t="s">
        <v>139</v>
      </c>
      <c r="D33" s="511" t="s">
        <v>140</v>
      </c>
      <c r="E33" s="205" t="s">
        <v>704</v>
      </c>
      <c r="F33" s="128" t="s">
        <v>707</v>
      </c>
      <c r="G33" s="128" t="s">
        <v>211</v>
      </c>
      <c r="H33" s="128"/>
      <c r="I33" s="126" t="s">
        <v>187</v>
      </c>
      <c r="J33" s="126"/>
      <c r="K33" s="184">
        <v>24</v>
      </c>
      <c r="L33" s="146">
        <v>-10.88866360431031</v>
      </c>
      <c r="M33" s="146">
        <v>-21.991203204649196</v>
      </c>
      <c r="N33" s="146">
        <v>-6.0671067418114148</v>
      </c>
      <c r="O33" s="146">
        <v>-19.144231979290453</v>
      </c>
      <c r="P33" s="146">
        <v>-32.615862883142583</v>
      </c>
      <c r="Q33" s="146">
        <v>-7.4703998686604649</v>
      </c>
      <c r="R33" s="146">
        <v>-11.530257649043492</v>
      </c>
      <c r="S33" s="146">
        <v>-26.824516868473424</v>
      </c>
      <c r="T33" s="146">
        <v>-5.0207958289554568</v>
      </c>
      <c r="U33" s="109">
        <v>0</v>
      </c>
      <c r="V33" s="109">
        <v>0</v>
      </c>
      <c r="W33" s="109">
        <v>0</v>
      </c>
      <c r="X33" s="109">
        <v>-3.4285714285714306</v>
      </c>
      <c r="Y33" s="109">
        <v>-15.170664757130922</v>
      </c>
      <c r="Z33" s="109">
        <v>0.53061224489795222</v>
      </c>
      <c r="AA33" s="109">
        <v>-3.5714285714285694</v>
      </c>
      <c r="AB33" s="109">
        <v>-19.10526315789474</v>
      </c>
      <c r="AC33" s="109">
        <v>0.11361737677526662</v>
      </c>
      <c r="AD33" s="120">
        <v>41.136372012208788</v>
      </c>
      <c r="AE33" s="113">
        <v>25.305079235406286</v>
      </c>
      <c r="AF33" s="113">
        <v>33.55854875238493</v>
      </c>
      <c r="AG33" s="121">
        <v>58.863627987791219</v>
      </c>
      <c r="AH33" s="41">
        <v>-10.064762313078575</v>
      </c>
      <c r="AI33" s="41">
        <v>-20.061049220371444</v>
      </c>
      <c r="AJ33" s="41">
        <v>-5.6521906371942521</v>
      </c>
      <c r="AK33" s="41">
        <v>-17.912809619277411</v>
      </c>
      <c r="AL33" s="41">
        <v>-31.198311223949148</v>
      </c>
      <c r="AM33" s="41">
        <v>-6.8601605188613775</v>
      </c>
      <c r="AN33" s="41">
        <v>-10.954412660548186</v>
      </c>
      <c r="AO33" s="41">
        <v>-26.292199672154453</v>
      </c>
      <c r="AP33" s="41">
        <v>-4.7966138330109658</v>
      </c>
      <c r="AQ33" s="109">
        <v>0</v>
      </c>
      <c r="AR33" s="109">
        <v>0</v>
      </c>
      <c r="AS33" s="109">
        <v>0</v>
      </c>
      <c r="AT33" s="109">
        <v>-3.4285714285714306</v>
      </c>
      <c r="AU33" s="109">
        <v>-15.170664757130922</v>
      </c>
      <c r="AV33" s="109">
        <v>0.53061224489795222</v>
      </c>
      <c r="AW33" s="109">
        <v>-3.5714285714285694</v>
      </c>
      <c r="AX33" s="109">
        <v>-19.10526315789474</v>
      </c>
      <c r="AY33" s="109">
        <v>0.11361737677526662</v>
      </c>
      <c r="AZ33" s="117">
        <v>47.337779580619816</v>
      </c>
      <c r="BA33" s="60">
        <v>19.10367166699525</v>
      </c>
      <c r="BB33" s="60">
        <v>33.55854875238493</v>
      </c>
      <c r="BC33" s="59">
        <v>52.662220419380176</v>
      </c>
      <c r="BD33" s="518" t="s">
        <v>92</v>
      </c>
      <c r="BE33" s="77">
        <v>3.1199800089999998</v>
      </c>
      <c r="BF33" s="77">
        <v>6.0079248920000001</v>
      </c>
      <c r="BG33" s="77">
        <v>18.507640930000001</v>
      </c>
      <c r="BH33" s="77">
        <v>17.488309000000001</v>
      </c>
      <c r="BI33" s="77">
        <v>15.02321974</v>
      </c>
      <c r="BJ33" s="70">
        <v>96.880019990999998</v>
      </c>
      <c r="BK33" s="59">
        <v>47.337779580619816</v>
      </c>
      <c r="BL33" s="59">
        <v>19.10367166699525</v>
      </c>
      <c r="BM33" s="59">
        <v>33.55854875238493</v>
      </c>
      <c r="BN33" s="60">
        <v>52.662220419380176</v>
      </c>
      <c r="BO33" s="77">
        <v>20.336735842385387</v>
      </c>
      <c r="BP33" s="77">
        <v>25.305079235406286</v>
      </c>
      <c r="BQ33" s="77">
        <v>54.358184922208331</v>
      </c>
      <c r="BR33" s="27">
        <v>79.66326415761462</v>
      </c>
      <c r="BS33" s="28"/>
      <c r="BT33" s="557"/>
      <c r="BU33" s="557"/>
      <c r="BV33" s="557"/>
      <c r="BW33" s="557"/>
      <c r="BZ33" s="29"/>
    </row>
    <row r="34" spans="1:78" s="33" customFormat="1" ht="15" thickBot="1" x14ac:dyDescent="0.35">
      <c r="A34" s="436" t="s">
        <v>88</v>
      </c>
      <c r="B34" s="33" t="s">
        <v>89</v>
      </c>
      <c r="C34" s="33" t="s">
        <v>141</v>
      </c>
      <c r="D34" s="558" t="s">
        <v>142</v>
      </c>
      <c r="E34" s="559" t="s">
        <v>186</v>
      </c>
      <c r="F34" s="560" t="s">
        <v>697</v>
      </c>
      <c r="G34" s="560" t="s">
        <v>211</v>
      </c>
      <c r="H34" s="560"/>
      <c r="I34" s="576" t="s">
        <v>188</v>
      </c>
      <c r="J34" s="576"/>
      <c r="K34" s="561">
        <v>25</v>
      </c>
      <c r="L34" s="577">
        <v>-8.2892153025914865</v>
      </c>
      <c r="M34" s="577">
        <v>-15.47689558563674</v>
      </c>
      <c r="N34" s="577">
        <v>-3.3990475055555436</v>
      </c>
      <c r="O34" s="577">
        <v>-14.701839511074084</v>
      </c>
      <c r="P34" s="577">
        <v>-27.082510412930503</v>
      </c>
      <c r="Q34" s="577">
        <v>-3.548256236651838</v>
      </c>
      <c r="R34" s="577">
        <v>-6.9751846512332918</v>
      </c>
      <c r="S34" s="577">
        <v>-23.993975511628079</v>
      </c>
      <c r="T34" s="577">
        <v>-0.17242512653527342</v>
      </c>
      <c r="U34" s="562">
        <v>0</v>
      </c>
      <c r="V34" s="562">
        <v>0</v>
      </c>
      <c r="W34" s="562">
        <v>0</v>
      </c>
      <c r="X34" s="562">
        <v>-4.4285714285714306</v>
      </c>
      <c r="Y34" s="562">
        <v>-15.884950471416644</v>
      </c>
      <c r="Z34" s="562">
        <v>2.9024943310657534</v>
      </c>
      <c r="AA34" s="562">
        <v>-2.1428571428571388</v>
      </c>
      <c r="AB34" s="562">
        <v>-21.792337987826699</v>
      </c>
      <c r="AC34" s="562">
        <v>3.0161117078410342</v>
      </c>
      <c r="AD34" s="563">
        <v>56.788902572308409</v>
      </c>
      <c r="AE34" s="564">
        <v>30.045040590994581</v>
      </c>
      <c r="AF34" s="564">
        <v>13.166056836697019</v>
      </c>
      <c r="AG34" s="565">
        <v>43.211097427691598</v>
      </c>
      <c r="AH34" s="33">
        <v>-6.5586702813841384</v>
      </c>
      <c r="AI34" s="33">
        <v>-11.938872929872218</v>
      </c>
      <c r="AJ34" s="33">
        <v>-2.8096208291301252</v>
      </c>
      <c r="AK34" s="33">
        <v>-12.628169183937715</v>
      </c>
      <c r="AL34" s="33">
        <v>-24.684749071300899</v>
      </c>
      <c r="AM34" s="33">
        <v>-2.2115120323941255</v>
      </c>
      <c r="AN34" s="33">
        <v>-6.0800751575053766</v>
      </c>
      <c r="AO34" s="33">
        <v>-23.739652950106034</v>
      </c>
      <c r="AP34" s="33">
        <v>0.36883041585005572</v>
      </c>
      <c r="AQ34" s="562">
        <v>0</v>
      </c>
      <c r="AR34" s="562">
        <v>0</v>
      </c>
      <c r="AS34" s="562">
        <v>0</v>
      </c>
      <c r="AT34" s="562">
        <v>-4.4285714285714306</v>
      </c>
      <c r="AU34" s="562">
        <v>-15.884950471416644</v>
      </c>
      <c r="AV34" s="562">
        <v>2.9024943310657534</v>
      </c>
      <c r="AW34" s="562">
        <v>-2.1428571428571388</v>
      </c>
      <c r="AX34" s="562">
        <v>-21.792337987826699</v>
      </c>
      <c r="AY34" s="562">
        <v>3.0161117078410342</v>
      </c>
      <c r="AZ34" s="566">
        <v>67.231846665801058</v>
      </c>
      <c r="BA34" s="35">
        <v>19.602096497501922</v>
      </c>
      <c r="BB34" s="35">
        <v>13.166056836697019</v>
      </c>
      <c r="BC34" s="444">
        <v>32.768153334198942</v>
      </c>
      <c r="BD34" s="567" t="s">
        <v>92</v>
      </c>
      <c r="BE34" s="34">
        <v>0.65466302300000001</v>
      </c>
      <c r="BF34" s="34">
        <v>10.374578</v>
      </c>
      <c r="BG34" s="34">
        <v>19.47376882</v>
      </c>
      <c r="BH34" s="34">
        <v>12.134933820000001</v>
      </c>
      <c r="BI34" s="34">
        <v>0.94492971100000001</v>
      </c>
      <c r="BJ34" s="443">
        <v>99.345336977000002</v>
      </c>
      <c r="BK34" s="444">
        <v>67.231846665801058</v>
      </c>
      <c r="BL34" s="444">
        <v>19.602096497501922</v>
      </c>
      <c r="BM34" s="444">
        <v>13.166056836697019</v>
      </c>
      <c r="BN34" s="35">
        <v>32.768153334198942</v>
      </c>
      <c r="BO34" s="34">
        <v>36.970871447448374</v>
      </c>
      <c r="BP34" s="34">
        <v>30.045040590994581</v>
      </c>
      <c r="BQ34" s="34">
        <v>32.984087961557051</v>
      </c>
      <c r="BR34" s="36">
        <v>63.029128552551633</v>
      </c>
      <c r="BS34" s="568"/>
      <c r="BT34" s="569"/>
      <c r="BU34" s="569"/>
      <c r="BV34" s="569"/>
      <c r="BW34" s="569"/>
      <c r="BZ34" s="570"/>
    </row>
    <row r="35" spans="1:78" s="124" customFormat="1" ht="14.4" customHeight="1" x14ac:dyDescent="0.3">
      <c r="A35" s="207"/>
      <c r="B35" s="146"/>
      <c r="C35" s="146"/>
      <c r="D35" s="509"/>
      <c r="E35" s="541"/>
      <c r="F35" s="542"/>
      <c r="G35" s="542"/>
      <c r="H35" s="542"/>
      <c r="I35" s="543"/>
      <c r="J35" s="543"/>
      <c r="K35" s="544"/>
      <c r="L35" s="512"/>
      <c r="M35" s="512"/>
      <c r="N35" s="512"/>
      <c r="O35" s="512"/>
      <c r="P35" s="512"/>
      <c r="Q35" s="512"/>
      <c r="R35" s="512"/>
      <c r="S35" s="512"/>
      <c r="T35" s="512"/>
      <c r="U35" s="512"/>
      <c r="V35" s="512"/>
      <c r="W35" s="512"/>
      <c r="X35" s="512"/>
      <c r="Y35" s="512"/>
      <c r="Z35" s="512"/>
      <c r="AA35" s="512"/>
      <c r="AB35" s="512"/>
      <c r="AC35" s="512"/>
      <c r="AD35" s="513"/>
      <c r="AE35" s="509"/>
      <c r="AF35" s="509"/>
      <c r="AG35" s="514"/>
      <c r="AH35" s="512"/>
      <c r="AI35" s="512"/>
      <c r="AJ35" s="512"/>
      <c r="AK35" s="512"/>
      <c r="AL35" s="512"/>
      <c r="AM35" s="512"/>
      <c r="AN35" s="512"/>
      <c r="AO35" s="512"/>
      <c r="AP35" s="512"/>
      <c r="AQ35" s="512"/>
      <c r="AR35" s="512"/>
      <c r="AS35" s="512"/>
      <c r="AT35" s="512"/>
      <c r="AU35" s="512"/>
      <c r="AV35" s="512"/>
      <c r="AW35" s="512"/>
      <c r="AX35" s="512"/>
      <c r="AY35" s="512"/>
      <c r="AZ35" s="513"/>
      <c r="BA35" s="509"/>
      <c r="BB35" s="509"/>
      <c r="BC35" s="509"/>
      <c r="BD35" s="519"/>
      <c r="BE35" s="150"/>
      <c r="BF35" s="150"/>
      <c r="BG35" s="150"/>
      <c r="BH35" s="150"/>
      <c r="BI35" s="150"/>
      <c r="BJ35" s="150"/>
      <c r="BK35" s="150"/>
      <c r="BL35" s="150"/>
      <c r="BM35" s="150"/>
      <c r="BN35" s="150"/>
      <c r="BO35" s="150"/>
      <c r="BP35" s="150"/>
      <c r="BQ35" s="150"/>
      <c r="BR35" s="150"/>
      <c r="BS35" s="515"/>
      <c r="BT35" s="516"/>
      <c r="BU35" s="516"/>
      <c r="BV35" s="516"/>
      <c r="BW35" s="516"/>
      <c r="BZ35" s="163"/>
    </row>
  </sheetData>
  <sortState xmlns:xlrd2="http://schemas.microsoft.com/office/spreadsheetml/2017/richdata2" ref="A3:IZ34">
    <sortCondition ref="D3:D34"/>
  </sortState>
  <mergeCells count="6">
    <mergeCell ref="L1:AC1"/>
    <mergeCell ref="BE1:BI1"/>
    <mergeCell ref="BS1:BW1"/>
    <mergeCell ref="AH1:AY1"/>
    <mergeCell ref="AD1:AG1"/>
    <mergeCell ref="AZ1:B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52549-6E4E-4BA0-BD77-EBDDAE123CEF}">
  <dimension ref="A1:M1559"/>
  <sheetViews>
    <sheetView zoomScale="80" zoomScaleNormal="80" workbookViewId="0">
      <pane xSplit="4" ySplit="2" topLeftCell="E1168" activePane="bottomRight" state="frozen"/>
      <selection pane="topRight" activeCell="E1" sqref="E1"/>
      <selection pane="bottomLeft" activeCell="A2" sqref="A2"/>
      <selection pane="bottomRight" activeCell="A1173" sqref="A1173:XFD1175"/>
    </sheetView>
  </sheetViews>
  <sheetFormatPr defaultRowHeight="14.4" x14ac:dyDescent="0.3"/>
  <cols>
    <col min="1" max="1" width="8.88671875" style="124"/>
    <col min="2" max="2" width="28.109375" style="124" customWidth="1"/>
    <col min="3" max="3" width="13.88671875" style="124" bestFit="1" customWidth="1"/>
    <col min="4" max="4" width="16.109375" style="124" bestFit="1" customWidth="1"/>
    <col min="5" max="10" width="8.5546875" style="150" customWidth="1"/>
    <col min="11" max="13" width="8.88671875" style="445"/>
    <col min="15" max="185" width="37.21875" bestFit="1" customWidth="1"/>
    <col min="186" max="187" width="10.77734375" bestFit="1" customWidth="1"/>
  </cols>
  <sheetData>
    <row r="1" spans="1:13" x14ac:dyDescent="0.3">
      <c r="A1" s="124" t="s">
        <v>1082</v>
      </c>
    </row>
    <row r="2" spans="1:13" ht="57.6" x14ac:dyDescent="0.3">
      <c r="A2" s="150" t="s">
        <v>1083</v>
      </c>
      <c r="B2" s="124" t="s">
        <v>1084</v>
      </c>
      <c r="C2" s="124" t="s">
        <v>1085</v>
      </c>
      <c r="D2" s="124" t="s">
        <v>1086</v>
      </c>
      <c r="E2" s="618" t="s">
        <v>1049</v>
      </c>
      <c r="F2" s="618" t="s">
        <v>1050</v>
      </c>
      <c r="G2" s="618" t="s">
        <v>1288</v>
      </c>
      <c r="H2" s="618" t="s">
        <v>1287</v>
      </c>
      <c r="I2" s="618" t="s">
        <v>1051</v>
      </c>
      <c r="J2" s="618" t="s">
        <v>11</v>
      </c>
      <c r="K2" s="446" t="s">
        <v>1081</v>
      </c>
      <c r="L2" s="446" t="s">
        <v>1051</v>
      </c>
      <c r="M2" s="446" t="s">
        <v>11</v>
      </c>
    </row>
    <row r="3" spans="1:13" x14ac:dyDescent="0.3">
      <c r="A3" s="124" t="s">
        <v>369</v>
      </c>
      <c r="B3" s="124" t="s">
        <v>375</v>
      </c>
      <c r="C3" s="124" t="s">
        <v>1052</v>
      </c>
      <c r="D3" s="124" t="s">
        <v>1053</v>
      </c>
      <c r="E3" s="150">
        <v>3.8</v>
      </c>
      <c r="F3" s="150">
        <v>13.8</v>
      </c>
      <c r="G3" s="150">
        <v>62.3</v>
      </c>
      <c r="H3" s="150">
        <v>62.3</v>
      </c>
      <c r="I3" s="150">
        <v>58.461904760000003</v>
      </c>
      <c r="J3" s="150">
        <v>76.120634920000001</v>
      </c>
      <c r="K3" s="445">
        <v>-37.700000000000003</v>
      </c>
      <c r="L3" s="445">
        <v>-41.538095239999997</v>
      </c>
      <c r="M3" s="445">
        <v>-23.879365079999999</v>
      </c>
    </row>
    <row r="4" spans="1:13" x14ac:dyDescent="0.3">
      <c r="A4" s="124" t="s">
        <v>369</v>
      </c>
      <c r="B4" s="124" t="s">
        <v>375</v>
      </c>
      <c r="C4" s="124" t="s">
        <v>1056</v>
      </c>
      <c r="D4" s="124" t="s">
        <v>1053</v>
      </c>
      <c r="E4" s="150">
        <v>22.4</v>
      </c>
      <c r="F4" s="150">
        <v>20.3</v>
      </c>
      <c r="G4" s="150">
        <v>84.4</v>
      </c>
      <c r="H4" s="150">
        <v>84.4</v>
      </c>
      <c r="I4" s="150">
        <v>62.02857143</v>
      </c>
      <c r="J4" s="150">
        <v>104.74285709999999</v>
      </c>
      <c r="K4" s="445">
        <v>-15.6</v>
      </c>
      <c r="L4" s="445">
        <v>-37.97142857</v>
      </c>
      <c r="M4" s="445">
        <v>4.7428571430000002</v>
      </c>
    </row>
    <row r="5" spans="1:13" x14ac:dyDescent="0.3">
      <c r="A5" s="124" t="s">
        <v>369</v>
      </c>
      <c r="B5" s="124" t="s">
        <v>375</v>
      </c>
      <c r="C5" s="124" t="s">
        <v>1057</v>
      </c>
      <c r="D5" s="124" t="s">
        <v>1053</v>
      </c>
      <c r="E5" s="150">
        <v>0</v>
      </c>
      <c r="F5" s="150">
        <v>0</v>
      </c>
      <c r="G5" s="150">
        <v>100</v>
      </c>
      <c r="H5" s="150">
        <v>100</v>
      </c>
      <c r="I5" s="150">
        <v>100</v>
      </c>
      <c r="J5" s="150">
        <v>100</v>
      </c>
      <c r="K5" s="445">
        <v>0</v>
      </c>
      <c r="L5" s="445">
        <v>0</v>
      </c>
      <c r="M5" s="445">
        <v>0</v>
      </c>
    </row>
    <row r="6" spans="1:13" x14ac:dyDescent="0.3">
      <c r="A6" s="124" t="s">
        <v>369</v>
      </c>
      <c r="B6" s="146" t="s">
        <v>375</v>
      </c>
      <c r="C6" s="146" t="s">
        <v>1052</v>
      </c>
      <c r="D6" s="146" t="s">
        <v>1054</v>
      </c>
      <c r="E6" s="148">
        <v>11.1</v>
      </c>
      <c r="F6" s="148">
        <v>16.600000000000001</v>
      </c>
      <c r="G6" s="148">
        <v>23.5</v>
      </c>
      <c r="H6" s="148">
        <v>23.5</v>
      </c>
      <c r="I6" s="148">
        <v>12.35128205</v>
      </c>
      <c r="J6" s="148">
        <v>40.148717949999998</v>
      </c>
      <c r="K6" s="445">
        <v>-76.5</v>
      </c>
      <c r="L6" s="445">
        <v>-87.648717950000005</v>
      </c>
      <c r="M6" s="445">
        <v>-59.851282050000002</v>
      </c>
    </row>
    <row r="7" spans="1:13" x14ac:dyDescent="0.3">
      <c r="A7" s="124" t="s">
        <v>369</v>
      </c>
      <c r="B7" s="146" t="s">
        <v>375</v>
      </c>
      <c r="C7" s="124" t="s">
        <v>1056</v>
      </c>
      <c r="D7" s="124" t="s">
        <v>1054</v>
      </c>
      <c r="E7" s="150">
        <v>18</v>
      </c>
      <c r="F7" s="150">
        <v>25.2</v>
      </c>
      <c r="G7" s="150">
        <v>58.9</v>
      </c>
      <c r="H7" s="150">
        <v>58.9</v>
      </c>
      <c r="I7" s="150">
        <v>40.914285710000001</v>
      </c>
      <c r="J7" s="150">
        <v>84.117460320000006</v>
      </c>
      <c r="K7" s="445">
        <v>-41.1</v>
      </c>
      <c r="L7" s="445">
        <v>-59.085714289999999</v>
      </c>
      <c r="M7" s="445">
        <v>-15.882539680000001</v>
      </c>
    </row>
    <row r="8" spans="1:13" x14ac:dyDescent="0.3">
      <c r="A8" s="124" t="s">
        <v>369</v>
      </c>
      <c r="B8" s="124" t="s">
        <v>375</v>
      </c>
      <c r="C8" s="124" t="s">
        <v>1057</v>
      </c>
      <c r="D8" s="124" t="s">
        <v>1054</v>
      </c>
      <c r="E8" s="150">
        <v>21.2</v>
      </c>
      <c r="F8" s="150">
        <v>12.2</v>
      </c>
      <c r="G8" s="150">
        <v>97.8</v>
      </c>
      <c r="H8" s="150">
        <v>97.8</v>
      </c>
      <c r="I8" s="150">
        <v>76.636257310000005</v>
      </c>
      <c r="J8" s="150">
        <v>110.0083837</v>
      </c>
      <c r="K8" s="445">
        <v>-2.2000000000000002</v>
      </c>
      <c r="L8" s="445">
        <v>-23.363742689999999</v>
      </c>
      <c r="M8" s="445">
        <v>10.0083837</v>
      </c>
    </row>
    <row r="9" spans="1:13" x14ac:dyDescent="0.3">
      <c r="A9" s="124" t="s">
        <v>369</v>
      </c>
      <c r="B9" s="124" t="s">
        <v>375</v>
      </c>
      <c r="C9" s="124" t="s">
        <v>1052</v>
      </c>
      <c r="D9" s="124" t="s">
        <v>1055</v>
      </c>
      <c r="E9" s="150">
        <v>32.4</v>
      </c>
      <c r="F9" s="150">
        <v>24.3</v>
      </c>
      <c r="G9" s="150">
        <v>51.5</v>
      </c>
      <c r="H9" s="150">
        <v>51.5</v>
      </c>
      <c r="I9" s="150">
        <v>19.071428569999998</v>
      </c>
      <c r="J9" s="150">
        <v>75.761904759999993</v>
      </c>
      <c r="K9" s="445">
        <v>-48.5</v>
      </c>
      <c r="L9" s="445">
        <v>-80.928571430000005</v>
      </c>
      <c r="M9" s="445">
        <v>-24.23809524</v>
      </c>
    </row>
    <row r="10" spans="1:13" x14ac:dyDescent="0.3">
      <c r="A10" s="124" t="s">
        <v>369</v>
      </c>
      <c r="B10" s="124" t="s">
        <v>375</v>
      </c>
      <c r="C10" s="124" t="s">
        <v>1056</v>
      </c>
      <c r="D10" s="124" t="s">
        <v>1055</v>
      </c>
      <c r="E10" s="150">
        <v>25.9</v>
      </c>
      <c r="F10" s="150">
        <v>29.5</v>
      </c>
      <c r="G10" s="150">
        <v>63.5</v>
      </c>
      <c r="H10" s="150">
        <v>63.5</v>
      </c>
      <c r="I10" s="150">
        <v>37.62197802</v>
      </c>
      <c r="J10" s="150">
        <v>92.966300369999999</v>
      </c>
      <c r="K10" s="445">
        <v>-36.5</v>
      </c>
      <c r="L10" s="445">
        <v>-62.37802198</v>
      </c>
      <c r="M10" s="445">
        <v>-7.0336996340000004</v>
      </c>
    </row>
    <row r="11" spans="1:13" x14ac:dyDescent="0.3">
      <c r="A11" s="124" t="s">
        <v>369</v>
      </c>
      <c r="B11" s="146" t="s">
        <v>375</v>
      </c>
      <c r="C11" s="146" t="s">
        <v>1057</v>
      </c>
      <c r="D11" s="124" t="s">
        <v>1055</v>
      </c>
      <c r="E11" s="148">
        <v>38.799999999999997</v>
      </c>
      <c r="F11" s="150">
        <v>26.6</v>
      </c>
      <c r="G11" s="150">
        <v>80.400000000000006</v>
      </c>
      <c r="H11" s="150">
        <v>80.400000000000006</v>
      </c>
      <c r="I11" s="150">
        <v>41.593406590000001</v>
      </c>
      <c r="J11" s="150">
        <v>107.0393162</v>
      </c>
      <c r="K11" s="445">
        <v>-19.600000000000001</v>
      </c>
      <c r="L11" s="445">
        <v>-58.406593409999999</v>
      </c>
      <c r="M11" s="445">
        <v>7.0393162389999997</v>
      </c>
    </row>
    <row r="12" spans="1:13" x14ac:dyDescent="0.3">
      <c r="A12" s="124" t="s">
        <v>369</v>
      </c>
      <c r="B12" s="124" t="s">
        <v>397</v>
      </c>
      <c r="C12" s="124" t="s">
        <v>1052</v>
      </c>
      <c r="D12" s="124" t="s">
        <v>1053</v>
      </c>
      <c r="E12" s="150">
        <v>14.7</v>
      </c>
      <c r="F12" s="150">
        <v>13.8</v>
      </c>
      <c r="G12" s="150">
        <v>30.5</v>
      </c>
      <c r="H12" s="150">
        <v>30.5</v>
      </c>
      <c r="I12" s="150">
        <v>15.78571429</v>
      </c>
      <c r="J12" s="150">
        <v>44.285714290000001</v>
      </c>
      <c r="K12" s="445">
        <v>-69.5</v>
      </c>
      <c r="L12" s="445">
        <v>-84.214285709999999</v>
      </c>
      <c r="M12" s="445">
        <v>-55.714285709999999</v>
      </c>
    </row>
    <row r="13" spans="1:13" x14ac:dyDescent="0.3">
      <c r="A13" s="124" t="s">
        <v>369</v>
      </c>
      <c r="B13" s="124" t="s">
        <v>397</v>
      </c>
      <c r="C13" s="124" t="s">
        <v>1056</v>
      </c>
      <c r="D13" s="124" t="s">
        <v>1053</v>
      </c>
      <c r="E13" s="150">
        <v>14.3</v>
      </c>
      <c r="F13" s="150">
        <v>20.399999999999999</v>
      </c>
      <c r="G13" s="150">
        <v>65.5</v>
      </c>
      <c r="H13" s="150">
        <v>65.5</v>
      </c>
      <c r="I13" s="150">
        <v>51.207936510000003</v>
      </c>
      <c r="J13" s="150">
        <v>85.934920629999993</v>
      </c>
      <c r="K13" s="445">
        <v>-34.5</v>
      </c>
      <c r="L13" s="445">
        <v>-48.792063489999997</v>
      </c>
      <c r="M13" s="445">
        <v>-14.065079369999999</v>
      </c>
    </row>
    <row r="14" spans="1:13" x14ac:dyDescent="0.3">
      <c r="A14" s="124" t="s">
        <v>369</v>
      </c>
      <c r="B14" s="124" t="s">
        <v>397</v>
      </c>
      <c r="C14" s="124" t="s">
        <v>1057</v>
      </c>
      <c r="D14" s="124" t="s">
        <v>1053</v>
      </c>
      <c r="E14" s="150">
        <v>0</v>
      </c>
      <c r="F14" s="150">
        <v>0</v>
      </c>
      <c r="G14" s="150">
        <v>100</v>
      </c>
      <c r="H14" s="150">
        <v>100</v>
      </c>
      <c r="I14" s="150">
        <v>100</v>
      </c>
      <c r="J14" s="150">
        <v>100</v>
      </c>
      <c r="K14" s="445">
        <v>0</v>
      </c>
      <c r="L14" s="445">
        <v>0</v>
      </c>
      <c r="M14" s="445">
        <v>0</v>
      </c>
    </row>
    <row r="15" spans="1:13" x14ac:dyDescent="0.3">
      <c r="A15" s="124" t="s">
        <v>369</v>
      </c>
      <c r="B15" s="146" t="s">
        <v>397</v>
      </c>
      <c r="C15" s="124" t="s">
        <v>1052</v>
      </c>
      <c r="D15" s="124" t="s">
        <v>1054</v>
      </c>
      <c r="E15" s="150">
        <v>18.7</v>
      </c>
      <c r="F15" s="150">
        <v>21.9</v>
      </c>
      <c r="G15" s="150">
        <v>23.2</v>
      </c>
      <c r="H15" s="150">
        <v>23.2</v>
      </c>
      <c r="I15" s="150">
        <v>4.5295238099999997</v>
      </c>
      <c r="J15" s="150">
        <v>45.080952379999999</v>
      </c>
      <c r="K15" s="445">
        <v>-76.8</v>
      </c>
      <c r="L15" s="445">
        <v>-95.470476189999999</v>
      </c>
      <c r="M15" s="445">
        <v>-54.919047620000001</v>
      </c>
    </row>
    <row r="16" spans="1:13" x14ac:dyDescent="0.3">
      <c r="A16" s="124" t="s">
        <v>369</v>
      </c>
      <c r="B16" s="146" t="s">
        <v>397</v>
      </c>
      <c r="C16" s="124" t="s">
        <v>1056</v>
      </c>
      <c r="D16" s="146" t="s">
        <v>1054</v>
      </c>
      <c r="E16" s="150">
        <v>20.2</v>
      </c>
      <c r="F16" s="150">
        <v>28.5</v>
      </c>
      <c r="G16" s="150">
        <v>58.1</v>
      </c>
      <c r="H16" s="150">
        <v>58.1</v>
      </c>
      <c r="I16" s="150">
        <v>37.863809519999997</v>
      </c>
      <c r="J16" s="150">
        <v>86.588571430000002</v>
      </c>
      <c r="K16" s="445">
        <v>-41.9</v>
      </c>
      <c r="L16" s="445">
        <v>-62.136190480000003</v>
      </c>
      <c r="M16" s="445">
        <v>-13.41142857</v>
      </c>
    </row>
    <row r="17" spans="1:13" x14ac:dyDescent="0.3">
      <c r="A17" s="124" t="s">
        <v>369</v>
      </c>
      <c r="B17" s="124" t="s">
        <v>397</v>
      </c>
      <c r="C17" s="124" t="s">
        <v>1057</v>
      </c>
      <c r="D17" s="124" t="s">
        <v>1054</v>
      </c>
      <c r="E17" s="150">
        <v>20.100000000000001</v>
      </c>
      <c r="F17" s="150">
        <v>9.6</v>
      </c>
      <c r="G17" s="150">
        <v>95.6</v>
      </c>
      <c r="H17" s="150">
        <v>95.6</v>
      </c>
      <c r="I17" s="150">
        <v>75.508888889999994</v>
      </c>
      <c r="J17" s="150">
        <v>105.20888890000001</v>
      </c>
      <c r="K17" s="445">
        <v>-4.4000000000000004</v>
      </c>
      <c r="L17" s="445">
        <v>-24.491111109999999</v>
      </c>
      <c r="M17" s="445">
        <v>5.2088888889999998</v>
      </c>
    </row>
    <row r="18" spans="1:13" x14ac:dyDescent="0.3">
      <c r="A18" s="124" t="s">
        <v>369</v>
      </c>
      <c r="B18" s="124" t="s">
        <v>397</v>
      </c>
      <c r="C18" s="124" t="s">
        <v>1052</v>
      </c>
      <c r="D18" s="124" t="s">
        <v>1055</v>
      </c>
      <c r="E18" s="150">
        <v>26.8</v>
      </c>
      <c r="F18" s="150">
        <v>30.5</v>
      </c>
      <c r="G18" s="150">
        <v>35.9</v>
      </c>
      <c r="H18" s="150">
        <v>35.9</v>
      </c>
      <c r="I18" s="150">
        <v>9.1</v>
      </c>
      <c r="J18" s="150">
        <v>66.385714289999996</v>
      </c>
      <c r="K18" s="445">
        <v>-64.099999999999994</v>
      </c>
      <c r="L18" s="445">
        <v>-90.9</v>
      </c>
      <c r="M18" s="445">
        <v>-33.614285709999997</v>
      </c>
    </row>
    <row r="19" spans="1:13" x14ac:dyDescent="0.3">
      <c r="A19" s="124" t="s">
        <v>369</v>
      </c>
      <c r="B19" s="124" t="s">
        <v>397</v>
      </c>
      <c r="C19" s="124" t="s">
        <v>1056</v>
      </c>
      <c r="D19" s="124" t="s">
        <v>1055</v>
      </c>
      <c r="E19" s="150">
        <v>24</v>
      </c>
      <c r="F19" s="150">
        <v>30.5</v>
      </c>
      <c r="G19" s="150">
        <v>60.9</v>
      </c>
      <c r="H19" s="150">
        <v>60.9</v>
      </c>
      <c r="I19" s="150">
        <v>36.857142860000003</v>
      </c>
      <c r="J19" s="150">
        <v>91.380952379999997</v>
      </c>
      <c r="K19" s="445">
        <v>-39.1</v>
      </c>
      <c r="L19" s="445">
        <v>-63.142857139999997</v>
      </c>
      <c r="M19" s="445">
        <v>-8.6190476189999998</v>
      </c>
    </row>
    <row r="20" spans="1:13" x14ac:dyDescent="0.3">
      <c r="A20" s="124" t="s">
        <v>369</v>
      </c>
      <c r="B20" s="146" t="s">
        <v>397</v>
      </c>
      <c r="C20" s="146" t="s">
        <v>1057</v>
      </c>
      <c r="D20" s="146" t="s">
        <v>1055</v>
      </c>
      <c r="E20" s="148">
        <v>31.7</v>
      </c>
      <c r="F20" s="148">
        <v>18.899999999999999</v>
      </c>
      <c r="G20" s="148">
        <v>81.400000000000006</v>
      </c>
      <c r="H20" s="148">
        <v>81.400000000000006</v>
      </c>
      <c r="I20" s="148">
        <v>49.70952381</v>
      </c>
      <c r="J20" s="148">
        <v>100.25555559999999</v>
      </c>
      <c r="K20" s="445">
        <v>-18.600000000000001</v>
      </c>
      <c r="L20" s="445">
        <v>-50.29047619</v>
      </c>
      <c r="M20" s="445">
        <v>0.25555555600000002</v>
      </c>
    </row>
    <row r="21" spans="1:13" x14ac:dyDescent="0.3">
      <c r="A21" s="124" t="s">
        <v>369</v>
      </c>
      <c r="B21" s="124" t="s">
        <v>394</v>
      </c>
      <c r="C21" s="124" t="s">
        <v>1052</v>
      </c>
      <c r="D21" s="124" t="s">
        <v>1053</v>
      </c>
      <c r="E21" s="150">
        <v>14.7</v>
      </c>
      <c r="F21" s="150">
        <v>13.8</v>
      </c>
      <c r="G21" s="150">
        <v>30.5</v>
      </c>
      <c r="H21" s="150">
        <v>30.5</v>
      </c>
      <c r="I21" s="150">
        <v>15.78571429</v>
      </c>
      <c r="J21" s="150">
        <v>44.285714290000001</v>
      </c>
      <c r="K21" s="445">
        <v>-69.5</v>
      </c>
      <c r="L21" s="445">
        <v>-84.214285709999999</v>
      </c>
      <c r="M21" s="445">
        <v>-55.714285709999999</v>
      </c>
    </row>
    <row r="22" spans="1:13" x14ac:dyDescent="0.3">
      <c r="A22" s="124" t="s">
        <v>369</v>
      </c>
      <c r="B22" s="124" t="s">
        <v>394</v>
      </c>
      <c r="C22" s="124" t="s">
        <v>1056</v>
      </c>
      <c r="D22" s="124" t="s">
        <v>1053</v>
      </c>
      <c r="E22" s="150">
        <v>14.3</v>
      </c>
      <c r="F22" s="150">
        <v>20.399999999999999</v>
      </c>
      <c r="G22" s="150">
        <v>65.5</v>
      </c>
      <c r="H22" s="150">
        <v>65.5</v>
      </c>
      <c r="I22" s="150">
        <v>51.207936510000003</v>
      </c>
      <c r="J22" s="150">
        <v>85.934920629999993</v>
      </c>
      <c r="K22" s="445">
        <v>-34.5</v>
      </c>
      <c r="L22" s="445">
        <v>-48.792063489999997</v>
      </c>
      <c r="M22" s="445">
        <v>-14.065079369999999</v>
      </c>
    </row>
    <row r="23" spans="1:13" x14ac:dyDescent="0.3">
      <c r="A23" s="124" t="s">
        <v>369</v>
      </c>
      <c r="B23" s="124" t="s">
        <v>394</v>
      </c>
      <c r="C23" s="124" t="s">
        <v>1057</v>
      </c>
      <c r="D23" s="124" t="s">
        <v>1053</v>
      </c>
      <c r="E23" s="150">
        <v>0</v>
      </c>
      <c r="F23" s="150">
        <v>0</v>
      </c>
      <c r="G23" s="150">
        <v>100</v>
      </c>
      <c r="H23" s="150">
        <v>100</v>
      </c>
      <c r="I23" s="150">
        <v>100</v>
      </c>
      <c r="J23" s="150">
        <v>100</v>
      </c>
      <c r="K23" s="445">
        <v>0</v>
      </c>
      <c r="L23" s="445">
        <v>0</v>
      </c>
      <c r="M23" s="445">
        <v>0</v>
      </c>
    </row>
    <row r="24" spans="1:13" x14ac:dyDescent="0.3">
      <c r="A24" s="124" t="s">
        <v>369</v>
      </c>
      <c r="B24" s="146" t="s">
        <v>394</v>
      </c>
      <c r="C24" s="124" t="s">
        <v>1052</v>
      </c>
      <c r="D24" s="124" t="s">
        <v>1054</v>
      </c>
      <c r="E24" s="150">
        <v>18.7</v>
      </c>
      <c r="F24" s="150">
        <v>21.9</v>
      </c>
      <c r="G24" s="150">
        <v>23.2</v>
      </c>
      <c r="H24" s="150">
        <v>23.2</v>
      </c>
      <c r="I24" s="150">
        <v>4.5295238099999997</v>
      </c>
      <c r="J24" s="150">
        <v>45.080952379999999</v>
      </c>
      <c r="K24" s="445">
        <v>-76.8</v>
      </c>
      <c r="L24" s="445">
        <v>-95.470476189999999</v>
      </c>
      <c r="M24" s="445">
        <v>-54.919047620000001</v>
      </c>
    </row>
    <row r="25" spans="1:13" x14ac:dyDescent="0.3">
      <c r="A25" s="124" t="s">
        <v>369</v>
      </c>
      <c r="B25" s="146" t="s">
        <v>394</v>
      </c>
      <c r="C25" s="124" t="s">
        <v>1056</v>
      </c>
      <c r="D25" s="146" t="s">
        <v>1054</v>
      </c>
      <c r="E25" s="150">
        <v>20.2</v>
      </c>
      <c r="F25" s="150">
        <v>28.5</v>
      </c>
      <c r="G25" s="150">
        <v>58.1</v>
      </c>
      <c r="H25" s="150">
        <v>58.1</v>
      </c>
      <c r="I25" s="150">
        <v>37.863809519999997</v>
      </c>
      <c r="J25" s="150">
        <v>86.588571430000002</v>
      </c>
      <c r="K25" s="445">
        <v>-41.9</v>
      </c>
      <c r="L25" s="445">
        <v>-62.136190480000003</v>
      </c>
      <c r="M25" s="445">
        <v>-13.41142857</v>
      </c>
    </row>
    <row r="26" spans="1:13" x14ac:dyDescent="0.3">
      <c r="A26" s="124" t="s">
        <v>369</v>
      </c>
      <c r="B26" s="124" t="s">
        <v>394</v>
      </c>
      <c r="C26" s="124" t="s">
        <v>1057</v>
      </c>
      <c r="D26" s="124" t="s">
        <v>1054</v>
      </c>
      <c r="E26" s="150">
        <v>20.100000000000001</v>
      </c>
      <c r="F26" s="150">
        <v>9.6</v>
      </c>
      <c r="G26" s="150">
        <v>95.6</v>
      </c>
      <c r="H26" s="150">
        <v>95.6</v>
      </c>
      <c r="I26" s="150">
        <v>75.508888889999994</v>
      </c>
      <c r="J26" s="150">
        <v>105.20888890000001</v>
      </c>
      <c r="K26" s="445">
        <v>-4.4000000000000004</v>
      </c>
      <c r="L26" s="445">
        <v>-24.491111109999999</v>
      </c>
      <c r="M26" s="445">
        <v>5.2088888889999998</v>
      </c>
    </row>
    <row r="27" spans="1:13" x14ac:dyDescent="0.3">
      <c r="A27" s="124" t="s">
        <v>369</v>
      </c>
      <c r="B27" s="124" t="s">
        <v>394</v>
      </c>
      <c r="C27" s="124" t="s">
        <v>1052</v>
      </c>
      <c r="D27" s="124" t="s">
        <v>1055</v>
      </c>
      <c r="E27" s="150">
        <v>26.8</v>
      </c>
      <c r="F27" s="150">
        <v>30.5</v>
      </c>
      <c r="G27" s="150">
        <v>35.9</v>
      </c>
      <c r="H27" s="150">
        <v>35.9</v>
      </c>
      <c r="I27" s="150">
        <v>9.1</v>
      </c>
      <c r="J27" s="150">
        <v>66.385714289999996</v>
      </c>
      <c r="K27" s="445">
        <v>-64.099999999999994</v>
      </c>
      <c r="L27" s="445">
        <v>-90.9</v>
      </c>
      <c r="M27" s="445">
        <v>-33.614285709999997</v>
      </c>
    </row>
    <row r="28" spans="1:13" x14ac:dyDescent="0.3">
      <c r="A28" s="124" t="s">
        <v>369</v>
      </c>
      <c r="B28" s="124" t="s">
        <v>394</v>
      </c>
      <c r="C28" s="124" t="s">
        <v>1056</v>
      </c>
      <c r="D28" s="124" t="s">
        <v>1055</v>
      </c>
      <c r="E28" s="150">
        <v>24</v>
      </c>
      <c r="F28" s="150">
        <v>30.5</v>
      </c>
      <c r="G28" s="150">
        <v>60.9</v>
      </c>
      <c r="H28" s="150">
        <v>60.9</v>
      </c>
      <c r="I28" s="150">
        <v>36.857142860000003</v>
      </c>
      <c r="J28" s="150">
        <v>91.380952379999997</v>
      </c>
      <c r="K28" s="445">
        <v>-39.1</v>
      </c>
      <c r="L28" s="445">
        <v>-63.142857139999997</v>
      </c>
      <c r="M28" s="445">
        <v>-8.6190476189999998</v>
      </c>
    </row>
    <row r="29" spans="1:13" x14ac:dyDescent="0.3">
      <c r="A29" s="124" t="s">
        <v>369</v>
      </c>
      <c r="B29" s="146" t="s">
        <v>394</v>
      </c>
      <c r="C29" s="146" t="s">
        <v>1057</v>
      </c>
      <c r="D29" s="124" t="s">
        <v>1055</v>
      </c>
      <c r="E29" s="148">
        <v>31.7</v>
      </c>
      <c r="F29" s="150">
        <v>18.899999999999999</v>
      </c>
      <c r="G29" s="150">
        <v>81.400000000000006</v>
      </c>
      <c r="H29" s="150">
        <v>81.400000000000006</v>
      </c>
      <c r="I29" s="150">
        <v>49.70952381</v>
      </c>
      <c r="J29" s="150">
        <v>100.25555559999999</v>
      </c>
      <c r="K29" s="445">
        <v>-18.600000000000001</v>
      </c>
      <c r="L29" s="445">
        <v>-50.29047619</v>
      </c>
      <c r="M29" s="445">
        <v>0.25555555600000002</v>
      </c>
    </row>
    <row r="30" spans="1:13" x14ac:dyDescent="0.3">
      <c r="A30" s="124" t="s">
        <v>369</v>
      </c>
      <c r="B30" s="124" t="s">
        <v>399</v>
      </c>
      <c r="C30" s="124" t="s">
        <v>1052</v>
      </c>
      <c r="D30" s="124" t="s">
        <v>1053</v>
      </c>
      <c r="E30" s="150">
        <v>14.7</v>
      </c>
      <c r="F30" s="150">
        <v>13.8</v>
      </c>
      <c r="G30" s="150">
        <v>30.5</v>
      </c>
      <c r="H30" s="150">
        <v>30.5</v>
      </c>
      <c r="I30" s="150">
        <v>15.78571429</v>
      </c>
      <c r="J30" s="150">
        <v>44.285714290000001</v>
      </c>
      <c r="K30" s="445">
        <v>-69.5</v>
      </c>
      <c r="L30" s="445">
        <v>-84.214285709999999</v>
      </c>
      <c r="M30" s="445">
        <v>-55.714285709999999</v>
      </c>
    </row>
    <row r="31" spans="1:13" x14ac:dyDescent="0.3">
      <c r="A31" s="124" t="s">
        <v>369</v>
      </c>
      <c r="B31" s="124" t="s">
        <v>399</v>
      </c>
      <c r="C31" s="124" t="s">
        <v>1056</v>
      </c>
      <c r="D31" s="124" t="s">
        <v>1053</v>
      </c>
      <c r="E31" s="150">
        <v>14.3</v>
      </c>
      <c r="F31" s="150">
        <v>20.399999999999999</v>
      </c>
      <c r="G31" s="150">
        <v>65.5</v>
      </c>
      <c r="H31" s="150">
        <v>65.5</v>
      </c>
      <c r="I31" s="150">
        <v>51.207936510000003</v>
      </c>
      <c r="J31" s="150">
        <v>85.934920629999993</v>
      </c>
      <c r="K31" s="445">
        <v>-34.5</v>
      </c>
      <c r="L31" s="445">
        <v>-48.792063489999997</v>
      </c>
      <c r="M31" s="445">
        <v>-14.065079369999999</v>
      </c>
    </row>
    <row r="32" spans="1:13" x14ac:dyDescent="0.3">
      <c r="A32" s="124" t="s">
        <v>369</v>
      </c>
      <c r="B32" s="124" t="s">
        <v>399</v>
      </c>
      <c r="C32" s="124" t="s">
        <v>1057</v>
      </c>
      <c r="D32" s="124" t="s">
        <v>1053</v>
      </c>
      <c r="E32" s="150">
        <v>0</v>
      </c>
      <c r="F32" s="150">
        <v>0</v>
      </c>
      <c r="G32" s="150">
        <v>100</v>
      </c>
      <c r="H32" s="150">
        <v>100</v>
      </c>
      <c r="I32" s="150">
        <v>100</v>
      </c>
      <c r="J32" s="150">
        <v>100</v>
      </c>
      <c r="K32" s="445">
        <v>0</v>
      </c>
      <c r="L32" s="445">
        <v>0</v>
      </c>
      <c r="M32" s="445">
        <v>0</v>
      </c>
    </row>
    <row r="33" spans="1:13" x14ac:dyDescent="0.3">
      <c r="A33" s="124" t="s">
        <v>369</v>
      </c>
      <c r="B33" s="146" t="s">
        <v>399</v>
      </c>
      <c r="C33" s="124" t="s">
        <v>1052</v>
      </c>
      <c r="D33" s="124" t="s">
        <v>1054</v>
      </c>
      <c r="E33" s="150">
        <v>18.7</v>
      </c>
      <c r="F33" s="150">
        <v>21.9</v>
      </c>
      <c r="G33" s="150">
        <v>23.2</v>
      </c>
      <c r="H33" s="150">
        <v>23.2</v>
      </c>
      <c r="I33" s="150">
        <v>4.5295238099999997</v>
      </c>
      <c r="J33" s="150">
        <v>45.080952379999999</v>
      </c>
      <c r="K33" s="445">
        <v>-76.8</v>
      </c>
      <c r="L33" s="445">
        <v>-95.470476189999999</v>
      </c>
      <c r="M33" s="445">
        <v>-54.919047620000001</v>
      </c>
    </row>
    <row r="34" spans="1:13" x14ac:dyDescent="0.3">
      <c r="A34" s="124" t="s">
        <v>369</v>
      </c>
      <c r="B34" s="146" t="s">
        <v>399</v>
      </c>
      <c r="C34" s="146" t="s">
        <v>1056</v>
      </c>
      <c r="D34" s="146" t="s">
        <v>1054</v>
      </c>
      <c r="E34" s="148">
        <v>20.2</v>
      </c>
      <c r="F34" s="148">
        <v>28.5</v>
      </c>
      <c r="G34" s="148">
        <v>58.1</v>
      </c>
      <c r="H34" s="148">
        <v>58.1</v>
      </c>
      <c r="I34" s="148">
        <v>37.863809519999997</v>
      </c>
      <c r="J34" s="148">
        <v>86.588571430000002</v>
      </c>
      <c r="K34" s="445">
        <v>-41.9</v>
      </c>
      <c r="L34" s="445">
        <v>-62.136190480000003</v>
      </c>
      <c r="M34" s="445">
        <v>-13.41142857</v>
      </c>
    </row>
    <row r="35" spans="1:13" x14ac:dyDescent="0.3">
      <c r="A35" s="124" t="s">
        <v>369</v>
      </c>
      <c r="B35" s="124" t="s">
        <v>399</v>
      </c>
      <c r="C35" s="124" t="s">
        <v>1057</v>
      </c>
      <c r="D35" s="124" t="s">
        <v>1054</v>
      </c>
      <c r="E35" s="150">
        <v>20.100000000000001</v>
      </c>
      <c r="F35" s="150">
        <v>9.6</v>
      </c>
      <c r="G35" s="150">
        <v>95.6</v>
      </c>
      <c r="H35" s="150">
        <v>95.6</v>
      </c>
      <c r="I35" s="150">
        <v>75.508888889999994</v>
      </c>
      <c r="J35" s="150">
        <v>105.20888890000001</v>
      </c>
      <c r="K35" s="445">
        <v>-4.4000000000000004</v>
      </c>
      <c r="L35" s="445">
        <v>-24.491111109999999</v>
      </c>
      <c r="M35" s="445">
        <v>5.2088888889999998</v>
      </c>
    </row>
    <row r="36" spans="1:13" x14ac:dyDescent="0.3">
      <c r="A36" s="124" t="s">
        <v>369</v>
      </c>
      <c r="B36" s="124" t="s">
        <v>399</v>
      </c>
      <c r="C36" s="124" t="s">
        <v>1052</v>
      </c>
      <c r="D36" s="124" t="s">
        <v>1055</v>
      </c>
      <c r="E36" s="150">
        <v>26.8</v>
      </c>
      <c r="F36" s="150">
        <v>30.5</v>
      </c>
      <c r="G36" s="150">
        <v>35.9</v>
      </c>
      <c r="H36" s="150">
        <v>35.9</v>
      </c>
      <c r="I36" s="150">
        <v>9.1</v>
      </c>
      <c r="J36" s="150">
        <v>66.385714289999996</v>
      </c>
      <c r="K36" s="445">
        <v>-64.099999999999994</v>
      </c>
      <c r="L36" s="445">
        <v>-90.9</v>
      </c>
      <c r="M36" s="445">
        <v>-33.614285709999997</v>
      </c>
    </row>
    <row r="37" spans="1:13" x14ac:dyDescent="0.3">
      <c r="A37" s="124" t="s">
        <v>369</v>
      </c>
      <c r="B37" s="124" t="s">
        <v>399</v>
      </c>
      <c r="C37" s="124" t="s">
        <v>1056</v>
      </c>
      <c r="D37" s="124" t="s">
        <v>1055</v>
      </c>
      <c r="E37" s="150">
        <v>24</v>
      </c>
      <c r="F37" s="150">
        <v>30.5</v>
      </c>
      <c r="G37" s="150">
        <v>60.9</v>
      </c>
      <c r="H37" s="150">
        <v>60.9</v>
      </c>
      <c r="I37" s="150">
        <v>36.857142860000003</v>
      </c>
      <c r="J37" s="150">
        <v>91.380952379999997</v>
      </c>
      <c r="K37" s="445">
        <v>-39.1</v>
      </c>
      <c r="L37" s="445">
        <v>-63.142857139999997</v>
      </c>
      <c r="M37" s="445">
        <v>-8.6190476189999998</v>
      </c>
    </row>
    <row r="38" spans="1:13" x14ac:dyDescent="0.3">
      <c r="A38" s="124" t="s">
        <v>369</v>
      </c>
      <c r="B38" s="146" t="s">
        <v>399</v>
      </c>
      <c r="C38" s="146" t="s">
        <v>1057</v>
      </c>
      <c r="D38" s="124" t="s">
        <v>1055</v>
      </c>
      <c r="E38" s="148">
        <v>31.7</v>
      </c>
      <c r="F38" s="150">
        <v>18.899999999999999</v>
      </c>
      <c r="G38" s="150">
        <v>81.400000000000006</v>
      </c>
      <c r="H38" s="150">
        <v>81.400000000000006</v>
      </c>
      <c r="I38" s="150">
        <v>49.70952381</v>
      </c>
      <c r="J38" s="150">
        <v>100.25555559999999</v>
      </c>
      <c r="K38" s="445">
        <v>-18.600000000000001</v>
      </c>
      <c r="L38" s="445">
        <v>-50.29047619</v>
      </c>
      <c r="M38" s="445">
        <v>0.25555555600000002</v>
      </c>
    </row>
    <row r="39" spans="1:13" x14ac:dyDescent="0.3">
      <c r="A39" s="124" t="s">
        <v>369</v>
      </c>
      <c r="B39" s="124" t="s">
        <v>491</v>
      </c>
      <c r="C39" s="124" t="s">
        <v>1052</v>
      </c>
      <c r="D39" s="124" t="s">
        <v>1053</v>
      </c>
      <c r="E39" s="150">
        <v>11</v>
      </c>
      <c r="F39" s="150">
        <v>9.8000000000000007</v>
      </c>
      <c r="G39" s="150">
        <v>61.8</v>
      </c>
      <c r="H39" s="150">
        <v>61.8</v>
      </c>
      <c r="I39" s="150">
        <v>50.8</v>
      </c>
      <c r="J39" s="150">
        <v>71.585714289999999</v>
      </c>
      <c r="K39" s="445">
        <v>-38.200000000000003</v>
      </c>
      <c r="L39" s="445">
        <v>-49.2</v>
      </c>
      <c r="M39" s="445">
        <v>-28.414285710000001</v>
      </c>
    </row>
    <row r="40" spans="1:13" x14ac:dyDescent="0.3">
      <c r="A40" s="124" t="s">
        <v>369</v>
      </c>
      <c r="B40" s="124" t="s">
        <v>491</v>
      </c>
      <c r="C40" s="124" t="s">
        <v>1056</v>
      </c>
      <c r="D40" s="124" t="s">
        <v>1053</v>
      </c>
      <c r="E40" s="150">
        <v>21.9</v>
      </c>
      <c r="F40" s="150">
        <v>17.5</v>
      </c>
      <c r="G40" s="150">
        <v>88.8</v>
      </c>
      <c r="H40" s="150">
        <v>88.8</v>
      </c>
      <c r="I40" s="150">
        <v>66.862656639999997</v>
      </c>
      <c r="J40" s="150">
        <v>106.3493734</v>
      </c>
      <c r="K40" s="445">
        <v>-11.2</v>
      </c>
      <c r="L40" s="445">
        <v>-33.137343360000003</v>
      </c>
      <c r="M40" s="445">
        <v>6.3493734340000003</v>
      </c>
    </row>
    <row r="41" spans="1:13" x14ac:dyDescent="0.3">
      <c r="A41" s="124" t="s">
        <v>369</v>
      </c>
      <c r="B41" s="124" t="s">
        <v>491</v>
      </c>
      <c r="C41" s="124" t="s">
        <v>1057</v>
      </c>
      <c r="D41" s="124" t="s">
        <v>1053</v>
      </c>
      <c r="E41" s="150">
        <v>0</v>
      </c>
      <c r="F41" s="150">
        <v>0</v>
      </c>
      <c r="G41" s="150">
        <v>100</v>
      </c>
      <c r="H41" s="150">
        <v>100</v>
      </c>
      <c r="I41" s="150">
        <v>100</v>
      </c>
      <c r="J41" s="150">
        <v>100</v>
      </c>
      <c r="K41" s="445">
        <v>0</v>
      </c>
      <c r="L41" s="445">
        <v>0</v>
      </c>
      <c r="M41" s="445">
        <v>0</v>
      </c>
    </row>
    <row r="42" spans="1:13" x14ac:dyDescent="0.3">
      <c r="A42" s="124" t="s">
        <v>369</v>
      </c>
      <c r="B42" s="146" t="s">
        <v>491</v>
      </c>
      <c r="C42" s="124" t="s">
        <v>1052</v>
      </c>
      <c r="D42" s="124" t="s">
        <v>1054</v>
      </c>
      <c r="E42" s="150">
        <v>10.9</v>
      </c>
      <c r="F42" s="150">
        <v>16.2</v>
      </c>
      <c r="G42" s="150">
        <v>22</v>
      </c>
      <c r="H42" s="150">
        <v>22</v>
      </c>
      <c r="I42" s="150">
        <v>11.093837540000001</v>
      </c>
      <c r="J42" s="150">
        <v>38.168067229999998</v>
      </c>
      <c r="K42" s="445">
        <v>-78</v>
      </c>
      <c r="L42" s="445">
        <v>-88.906162460000004</v>
      </c>
      <c r="M42" s="445">
        <v>-61.831932770000002</v>
      </c>
    </row>
    <row r="43" spans="1:13" x14ac:dyDescent="0.3">
      <c r="A43" s="124" t="s">
        <v>369</v>
      </c>
      <c r="B43" s="124" t="s">
        <v>491</v>
      </c>
      <c r="C43" s="124" t="s">
        <v>1056</v>
      </c>
      <c r="D43" s="124" t="s">
        <v>1054</v>
      </c>
      <c r="E43" s="150">
        <v>19.5</v>
      </c>
      <c r="F43" s="150">
        <v>17.100000000000001</v>
      </c>
      <c r="G43" s="150">
        <v>67.099999999999994</v>
      </c>
      <c r="H43" s="150">
        <v>67.099999999999994</v>
      </c>
      <c r="I43" s="150">
        <v>47.58638655</v>
      </c>
      <c r="J43" s="150">
        <v>84.228851539999994</v>
      </c>
      <c r="K43" s="445">
        <v>-32.9</v>
      </c>
      <c r="L43" s="445">
        <v>-52.41361345</v>
      </c>
      <c r="M43" s="445">
        <v>-15.771148459999999</v>
      </c>
    </row>
    <row r="44" spans="1:13" x14ac:dyDescent="0.3">
      <c r="A44" s="124" t="s">
        <v>369</v>
      </c>
      <c r="B44" s="124" t="s">
        <v>491</v>
      </c>
      <c r="C44" s="124" t="s">
        <v>1057</v>
      </c>
      <c r="D44" s="124" t="s">
        <v>1054</v>
      </c>
      <c r="E44" s="150">
        <v>17.8</v>
      </c>
      <c r="F44" s="150">
        <v>8.9</v>
      </c>
      <c r="G44" s="150">
        <v>97.1</v>
      </c>
      <c r="H44" s="150">
        <v>97.1</v>
      </c>
      <c r="I44" s="150">
        <v>79.336862749999995</v>
      </c>
      <c r="J44" s="150">
        <v>106.00091500000001</v>
      </c>
      <c r="K44" s="445">
        <v>-2.9</v>
      </c>
      <c r="L44" s="445">
        <v>-20.663137249999998</v>
      </c>
      <c r="M44" s="445">
        <v>6.0009150330000001</v>
      </c>
    </row>
    <row r="45" spans="1:13" x14ac:dyDescent="0.3">
      <c r="A45" s="124" t="s">
        <v>369</v>
      </c>
      <c r="B45" s="124" t="s">
        <v>491</v>
      </c>
      <c r="C45" s="124" t="s">
        <v>1052</v>
      </c>
      <c r="D45" s="124" t="s">
        <v>1055</v>
      </c>
      <c r="E45" s="150">
        <v>20.7</v>
      </c>
      <c r="F45" s="150">
        <v>25.2</v>
      </c>
      <c r="G45" s="150">
        <v>51.8</v>
      </c>
      <c r="H45" s="150">
        <v>51.8</v>
      </c>
      <c r="I45" s="150">
        <v>31.138095239999998</v>
      </c>
      <c r="J45" s="150">
        <v>77.019047619999995</v>
      </c>
      <c r="K45" s="445">
        <v>-48.2</v>
      </c>
      <c r="L45" s="445">
        <v>-68.861904760000002</v>
      </c>
      <c r="M45" s="445">
        <v>-22.980952380000002</v>
      </c>
    </row>
    <row r="46" spans="1:13" x14ac:dyDescent="0.3">
      <c r="A46" s="124" t="s">
        <v>369</v>
      </c>
      <c r="B46" s="124" t="s">
        <v>491</v>
      </c>
      <c r="C46" s="124" t="s">
        <v>1056</v>
      </c>
      <c r="D46" s="124" t="s">
        <v>1055</v>
      </c>
      <c r="E46" s="150">
        <v>24.2</v>
      </c>
      <c r="F46" s="150">
        <v>25.1</v>
      </c>
      <c r="G46" s="150">
        <v>68.400000000000006</v>
      </c>
      <c r="H46" s="150">
        <v>68.400000000000006</v>
      </c>
      <c r="I46" s="150">
        <v>44.247619049999997</v>
      </c>
      <c r="J46" s="150">
        <v>93.533333330000005</v>
      </c>
      <c r="K46" s="445">
        <v>-31.6</v>
      </c>
      <c r="L46" s="445">
        <v>-55.752380950000003</v>
      </c>
      <c r="M46" s="445">
        <v>-6.4666666670000001</v>
      </c>
    </row>
    <row r="47" spans="1:13" x14ac:dyDescent="0.3">
      <c r="A47" s="124" t="s">
        <v>369</v>
      </c>
      <c r="B47" s="146" t="s">
        <v>491</v>
      </c>
      <c r="C47" s="146" t="s">
        <v>1057</v>
      </c>
      <c r="D47" s="124" t="s">
        <v>1055</v>
      </c>
      <c r="E47" s="148">
        <v>22.3</v>
      </c>
      <c r="F47" s="150">
        <v>27</v>
      </c>
      <c r="G47" s="150">
        <v>76.099999999999994</v>
      </c>
      <c r="H47" s="150">
        <v>76.099999999999994</v>
      </c>
      <c r="I47" s="150">
        <v>53.84285714</v>
      </c>
      <c r="J47" s="150">
        <v>103.0571429</v>
      </c>
      <c r="K47" s="445">
        <v>-23.9</v>
      </c>
      <c r="L47" s="445">
        <v>-46.15714286</v>
      </c>
      <c r="M47" s="445">
        <v>3.0571428570000001</v>
      </c>
    </row>
    <row r="48" spans="1:13" x14ac:dyDescent="0.3">
      <c r="A48" s="124" t="s">
        <v>369</v>
      </c>
      <c r="B48" s="124" t="s">
        <v>391</v>
      </c>
      <c r="C48" s="124" t="s">
        <v>1052</v>
      </c>
      <c r="D48" s="124" t="s">
        <v>1053</v>
      </c>
      <c r="E48" s="150">
        <v>10.199999999999999</v>
      </c>
      <c r="F48" s="150">
        <v>28.2</v>
      </c>
      <c r="G48" s="150">
        <v>65.5</v>
      </c>
      <c r="H48" s="150">
        <v>65.5</v>
      </c>
      <c r="I48" s="150">
        <v>55.267532469999999</v>
      </c>
      <c r="J48" s="150">
        <v>93.711255410000007</v>
      </c>
      <c r="K48" s="445">
        <v>-34.5</v>
      </c>
      <c r="L48" s="445">
        <v>-44.732467530000001</v>
      </c>
      <c r="M48" s="445">
        <v>-6.2887445890000002</v>
      </c>
    </row>
    <row r="49" spans="1:13" x14ac:dyDescent="0.3">
      <c r="A49" s="124" t="s">
        <v>369</v>
      </c>
      <c r="B49" s="124" t="s">
        <v>391</v>
      </c>
      <c r="C49" s="124" t="s">
        <v>1056</v>
      </c>
      <c r="D49" s="124" t="s">
        <v>1053</v>
      </c>
      <c r="E49" s="150">
        <v>22.3</v>
      </c>
      <c r="F49" s="150">
        <v>16.100000000000001</v>
      </c>
      <c r="G49" s="150">
        <v>90.6</v>
      </c>
      <c r="H49" s="150">
        <v>90.6</v>
      </c>
      <c r="I49" s="150">
        <v>68.312698409999996</v>
      </c>
      <c r="J49" s="150">
        <v>106.7253968</v>
      </c>
      <c r="K49" s="445">
        <v>-9.4</v>
      </c>
      <c r="L49" s="445">
        <v>-31.687301590000001</v>
      </c>
      <c r="M49" s="445">
        <v>6.7253968249999998</v>
      </c>
    </row>
    <row r="50" spans="1:13" x14ac:dyDescent="0.3">
      <c r="A50" s="124" t="s">
        <v>369</v>
      </c>
      <c r="B50" s="124" t="s">
        <v>391</v>
      </c>
      <c r="C50" s="124" t="s">
        <v>1057</v>
      </c>
      <c r="D50" s="124" t="s">
        <v>1053</v>
      </c>
      <c r="E50" s="150">
        <v>0</v>
      </c>
      <c r="F50" s="150">
        <v>0</v>
      </c>
      <c r="G50" s="150">
        <v>100</v>
      </c>
      <c r="H50" s="150">
        <v>100</v>
      </c>
      <c r="I50" s="150">
        <v>100</v>
      </c>
      <c r="J50" s="150">
        <v>100</v>
      </c>
      <c r="K50" s="445">
        <v>0</v>
      </c>
      <c r="L50" s="445">
        <v>0</v>
      </c>
      <c r="M50" s="445">
        <v>0</v>
      </c>
    </row>
    <row r="51" spans="1:13" x14ac:dyDescent="0.3">
      <c r="A51" s="124" t="s">
        <v>369</v>
      </c>
      <c r="B51" s="146" t="s">
        <v>391</v>
      </c>
      <c r="C51" s="124" t="s">
        <v>1052</v>
      </c>
      <c r="D51" s="146" t="s">
        <v>1054</v>
      </c>
      <c r="E51" s="150">
        <v>10.6</v>
      </c>
      <c r="F51" s="150">
        <v>27.2</v>
      </c>
      <c r="G51" s="150">
        <v>24.2</v>
      </c>
      <c r="H51" s="150">
        <v>24.2</v>
      </c>
      <c r="I51" s="150">
        <v>13.647619049999999</v>
      </c>
      <c r="J51" s="150">
        <v>51.390476190000001</v>
      </c>
      <c r="K51" s="445">
        <v>-75.8</v>
      </c>
      <c r="L51" s="445">
        <v>-86.352380949999997</v>
      </c>
      <c r="M51" s="445">
        <v>-48.609523809999999</v>
      </c>
    </row>
    <row r="52" spans="1:13" x14ac:dyDescent="0.3">
      <c r="A52" s="124" t="s">
        <v>369</v>
      </c>
      <c r="B52" s="124" t="s">
        <v>391</v>
      </c>
      <c r="C52" s="124" t="s">
        <v>1056</v>
      </c>
      <c r="D52" s="124" t="s">
        <v>1054</v>
      </c>
      <c r="E52" s="150">
        <v>18.399999999999999</v>
      </c>
      <c r="F52" s="150">
        <v>14.9</v>
      </c>
      <c r="G52" s="150">
        <v>81.8</v>
      </c>
      <c r="H52" s="150">
        <v>81.8</v>
      </c>
      <c r="I52" s="150">
        <v>63.37563025</v>
      </c>
      <c r="J52" s="150">
        <v>96.704948650000006</v>
      </c>
      <c r="K52" s="445">
        <v>-18.2</v>
      </c>
      <c r="L52" s="445">
        <v>-36.62436975</v>
      </c>
      <c r="M52" s="445">
        <v>-3.2950513539999999</v>
      </c>
    </row>
    <row r="53" spans="1:13" x14ac:dyDescent="0.3">
      <c r="A53" s="124" t="s">
        <v>369</v>
      </c>
      <c r="B53" s="124" t="s">
        <v>391</v>
      </c>
      <c r="C53" s="124" t="s">
        <v>1057</v>
      </c>
      <c r="D53" s="124" t="s">
        <v>1054</v>
      </c>
      <c r="E53" s="150">
        <v>22.6</v>
      </c>
      <c r="F53" s="150">
        <v>15.5</v>
      </c>
      <c r="G53" s="150">
        <v>109.1</v>
      </c>
      <c r="H53" s="150">
        <v>109.1</v>
      </c>
      <c r="I53" s="150">
        <v>86.501400559999993</v>
      </c>
      <c r="J53" s="150">
        <v>124.5970121</v>
      </c>
      <c r="K53" s="445">
        <v>9.1</v>
      </c>
      <c r="L53" s="445">
        <v>-13.49859944</v>
      </c>
      <c r="M53" s="445">
        <v>24.59701214</v>
      </c>
    </row>
    <row r="54" spans="1:13" x14ac:dyDescent="0.3">
      <c r="A54" s="124" t="s">
        <v>369</v>
      </c>
      <c r="B54" s="124" t="s">
        <v>391</v>
      </c>
      <c r="C54" s="124" t="s">
        <v>1052</v>
      </c>
      <c r="D54" s="124" t="s">
        <v>1055</v>
      </c>
      <c r="E54" s="150">
        <v>39.4</v>
      </c>
      <c r="F54" s="150">
        <v>35.5</v>
      </c>
      <c r="G54" s="150">
        <v>75.5</v>
      </c>
      <c r="H54" s="150">
        <v>75.5</v>
      </c>
      <c r="I54" s="150">
        <v>36.133699630000002</v>
      </c>
      <c r="J54" s="150">
        <v>111.0498168</v>
      </c>
      <c r="K54" s="445">
        <v>-24.5</v>
      </c>
      <c r="L54" s="445">
        <v>-63.866300369999998</v>
      </c>
      <c r="M54" s="445">
        <v>11.049816849999999</v>
      </c>
    </row>
    <row r="55" spans="1:13" x14ac:dyDescent="0.3">
      <c r="A55" s="124" t="s">
        <v>369</v>
      </c>
      <c r="B55" s="146" t="s">
        <v>391</v>
      </c>
      <c r="C55" s="146" t="s">
        <v>1056</v>
      </c>
      <c r="D55" s="124" t="s">
        <v>1055</v>
      </c>
      <c r="E55" s="148">
        <v>34</v>
      </c>
      <c r="F55" s="150">
        <v>26.1</v>
      </c>
      <c r="G55" s="150">
        <v>117.9</v>
      </c>
      <c r="H55" s="150">
        <v>117.9</v>
      </c>
      <c r="I55" s="150">
        <v>83.920683760000003</v>
      </c>
      <c r="J55" s="150">
        <v>144.00346759999999</v>
      </c>
      <c r="K55" s="445">
        <v>17.899999999999999</v>
      </c>
      <c r="L55" s="445">
        <v>-16.079316240000001</v>
      </c>
      <c r="M55" s="445">
        <v>44.003467639999997</v>
      </c>
    </row>
    <row r="56" spans="1:13" x14ac:dyDescent="0.3">
      <c r="A56" s="124" t="s">
        <v>369</v>
      </c>
      <c r="B56" s="146" t="s">
        <v>391</v>
      </c>
      <c r="C56" s="146" t="s">
        <v>1057</v>
      </c>
      <c r="D56" s="146" t="s">
        <v>1055</v>
      </c>
      <c r="E56" s="148">
        <v>46.9</v>
      </c>
      <c r="F56" s="148">
        <v>54.2</v>
      </c>
      <c r="G56" s="148">
        <v>134</v>
      </c>
      <c r="H56" s="148">
        <v>134</v>
      </c>
      <c r="I56" s="148">
        <v>87.073260070000003</v>
      </c>
      <c r="J56" s="148">
        <v>188.1540904</v>
      </c>
      <c r="K56" s="445">
        <v>34</v>
      </c>
      <c r="L56" s="445">
        <v>-12.92673993</v>
      </c>
      <c r="M56" s="445">
        <v>88.154090350000004</v>
      </c>
    </row>
    <row r="57" spans="1:13" x14ac:dyDescent="0.3">
      <c r="A57" s="124" t="s">
        <v>369</v>
      </c>
      <c r="B57" s="124" t="s">
        <v>528</v>
      </c>
      <c r="C57" s="124" t="s">
        <v>1052</v>
      </c>
      <c r="D57" s="124" t="s">
        <v>1053</v>
      </c>
      <c r="E57" s="150">
        <v>9.6</v>
      </c>
      <c r="F57" s="150">
        <v>11.2</v>
      </c>
      <c r="G57" s="150">
        <v>57.3</v>
      </c>
      <c r="H57" s="150">
        <v>57.3</v>
      </c>
      <c r="I57" s="150">
        <v>47.728571430000002</v>
      </c>
      <c r="J57" s="150">
        <v>68.514285709999996</v>
      </c>
      <c r="K57" s="445">
        <v>-42.7</v>
      </c>
      <c r="L57" s="445">
        <v>-52.271428569999998</v>
      </c>
      <c r="M57" s="445">
        <v>-31.485714290000001</v>
      </c>
    </row>
    <row r="58" spans="1:13" x14ac:dyDescent="0.3">
      <c r="A58" s="124" t="s">
        <v>369</v>
      </c>
      <c r="B58" s="124" t="s">
        <v>528</v>
      </c>
      <c r="C58" s="124" t="s">
        <v>1056</v>
      </c>
      <c r="D58" s="124" t="s">
        <v>1053</v>
      </c>
      <c r="E58" s="150">
        <v>19.5</v>
      </c>
      <c r="F58" s="150">
        <v>17</v>
      </c>
      <c r="G58" s="150">
        <v>88</v>
      </c>
      <c r="H58" s="150">
        <v>88</v>
      </c>
      <c r="I58" s="150">
        <v>68.47142857</v>
      </c>
      <c r="J58" s="150">
        <v>105.0142857</v>
      </c>
      <c r="K58" s="445">
        <v>-12</v>
      </c>
      <c r="L58" s="445">
        <v>-31.52857143</v>
      </c>
      <c r="M58" s="445">
        <v>5.0142857139999997</v>
      </c>
    </row>
    <row r="59" spans="1:13" x14ac:dyDescent="0.3">
      <c r="A59" s="124" t="s">
        <v>369</v>
      </c>
      <c r="B59" s="124" t="s">
        <v>528</v>
      </c>
      <c r="C59" s="124" t="s">
        <v>1057</v>
      </c>
      <c r="D59" s="124" t="s">
        <v>1053</v>
      </c>
      <c r="E59" s="150">
        <v>0</v>
      </c>
      <c r="F59" s="150">
        <v>0</v>
      </c>
      <c r="G59" s="150">
        <v>100</v>
      </c>
      <c r="H59" s="150">
        <v>100</v>
      </c>
      <c r="I59" s="150">
        <v>100</v>
      </c>
      <c r="J59" s="150">
        <v>100</v>
      </c>
      <c r="K59" s="445">
        <v>0</v>
      </c>
      <c r="L59" s="445">
        <v>0</v>
      </c>
      <c r="M59" s="445">
        <v>0</v>
      </c>
    </row>
    <row r="60" spans="1:13" x14ac:dyDescent="0.3">
      <c r="A60" s="124" t="s">
        <v>369</v>
      </c>
      <c r="B60" s="146" t="s">
        <v>528</v>
      </c>
      <c r="C60" s="124" t="s">
        <v>1052</v>
      </c>
      <c r="D60" s="124" t="s">
        <v>1054</v>
      </c>
      <c r="E60" s="150">
        <v>8.8000000000000007</v>
      </c>
      <c r="F60" s="150">
        <v>14.7</v>
      </c>
      <c r="G60" s="150">
        <v>17.5</v>
      </c>
      <c r="H60" s="150">
        <v>17.5</v>
      </c>
      <c r="I60" s="150">
        <v>8.723809524</v>
      </c>
      <c r="J60" s="150">
        <v>32.15714286</v>
      </c>
      <c r="K60" s="445">
        <v>-82.5</v>
      </c>
      <c r="L60" s="445">
        <v>-91.276190479999997</v>
      </c>
      <c r="M60" s="445">
        <v>-67.842857140000007</v>
      </c>
    </row>
    <row r="61" spans="1:13" x14ac:dyDescent="0.3">
      <c r="A61" s="124" t="s">
        <v>369</v>
      </c>
      <c r="B61" s="146" t="s">
        <v>528</v>
      </c>
      <c r="C61" s="124" t="s">
        <v>1056</v>
      </c>
      <c r="D61" s="124" t="s">
        <v>1054</v>
      </c>
      <c r="E61" s="150">
        <v>19.5</v>
      </c>
      <c r="F61" s="150">
        <v>19</v>
      </c>
      <c r="G61" s="150">
        <v>62.2</v>
      </c>
      <c r="H61" s="150">
        <v>62.2</v>
      </c>
      <c r="I61" s="150">
        <v>42.676190480000002</v>
      </c>
      <c r="J61" s="150">
        <v>81.2</v>
      </c>
      <c r="K61" s="445">
        <v>-37.799999999999997</v>
      </c>
      <c r="L61" s="445">
        <v>-57.323809519999998</v>
      </c>
      <c r="M61" s="445">
        <v>-18.8</v>
      </c>
    </row>
    <row r="62" spans="1:13" x14ac:dyDescent="0.3">
      <c r="A62" s="124" t="s">
        <v>369</v>
      </c>
      <c r="B62" s="124" t="s">
        <v>528</v>
      </c>
      <c r="C62" s="124" t="s">
        <v>1057</v>
      </c>
      <c r="D62" s="124" t="s">
        <v>1054</v>
      </c>
      <c r="E62" s="150">
        <v>18.2</v>
      </c>
      <c r="F62" s="150">
        <v>8.9</v>
      </c>
      <c r="G62" s="150">
        <v>98.9</v>
      </c>
      <c r="H62" s="150">
        <v>98.9</v>
      </c>
      <c r="I62" s="150">
        <v>80.682372599999994</v>
      </c>
      <c r="J62" s="150">
        <v>107.8492899</v>
      </c>
      <c r="K62" s="445">
        <v>-1.1000000000000001</v>
      </c>
      <c r="L62" s="445">
        <v>-19.317627399999999</v>
      </c>
      <c r="M62" s="445">
        <v>7.8492898909999997</v>
      </c>
    </row>
    <row r="63" spans="1:13" x14ac:dyDescent="0.3">
      <c r="A63" s="124" t="s">
        <v>369</v>
      </c>
      <c r="B63" s="124" t="s">
        <v>528</v>
      </c>
      <c r="C63" s="124" t="s">
        <v>1052</v>
      </c>
      <c r="D63" s="124" t="s">
        <v>1055</v>
      </c>
      <c r="E63" s="150">
        <v>19.7</v>
      </c>
      <c r="F63" s="150">
        <v>21.2</v>
      </c>
      <c r="G63" s="150">
        <v>43.7</v>
      </c>
      <c r="H63" s="150">
        <v>43.7</v>
      </c>
      <c r="I63" s="150">
        <v>23.994505490000002</v>
      </c>
      <c r="J63" s="150">
        <v>64.89450549</v>
      </c>
      <c r="K63" s="445">
        <v>-56.3</v>
      </c>
      <c r="L63" s="445">
        <v>-76.005494510000005</v>
      </c>
      <c r="M63" s="445">
        <v>-35.10549451</v>
      </c>
    </row>
    <row r="64" spans="1:13" x14ac:dyDescent="0.3">
      <c r="A64" s="124" t="s">
        <v>369</v>
      </c>
      <c r="B64" s="124" t="s">
        <v>528</v>
      </c>
      <c r="C64" s="124" t="s">
        <v>1056</v>
      </c>
      <c r="D64" s="124" t="s">
        <v>1055</v>
      </c>
      <c r="E64" s="150">
        <v>26.5</v>
      </c>
      <c r="F64" s="150">
        <v>17.3</v>
      </c>
      <c r="G64" s="150">
        <v>73.900000000000006</v>
      </c>
      <c r="H64" s="150">
        <v>73.900000000000006</v>
      </c>
      <c r="I64" s="150">
        <v>47.442490839999998</v>
      </c>
      <c r="J64" s="150">
        <v>91.194139190000001</v>
      </c>
      <c r="K64" s="445">
        <v>-26.1</v>
      </c>
      <c r="L64" s="445">
        <v>-52.557509160000002</v>
      </c>
      <c r="M64" s="445">
        <v>-8.8058608060000001</v>
      </c>
    </row>
    <row r="65" spans="1:13" x14ac:dyDescent="0.3">
      <c r="A65" s="124" t="s">
        <v>369</v>
      </c>
      <c r="B65" s="146" t="s">
        <v>528</v>
      </c>
      <c r="C65" s="146" t="s">
        <v>1057</v>
      </c>
      <c r="D65" s="146" t="s">
        <v>1055</v>
      </c>
      <c r="E65" s="148">
        <v>24.3</v>
      </c>
      <c r="F65" s="148">
        <v>18.399999999999999</v>
      </c>
      <c r="G65" s="148">
        <v>83.7</v>
      </c>
      <c r="H65" s="148">
        <v>83.7</v>
      </c>
      <c r="I65" s="148">
        <v>59.364835159999998</v>
      </c>
      <c r="J65" s="148">
        <v>102.0630037</v>
      </c>
      <c r="K65" s="445">
        <v>-16.3</v>
      </c>
      <c r="L65" s="445">
        <v>-40.635164840000002</v>
      </c>
      <c r="M65" s="445">
        <v>2.0630036629999999</v>
      </c>
    </row>
    <row r="66" spans="1:13" x14ac:dyDescent="0.3">
      <c r="A66" s="124" t="s">
        <v>369</v>
      </c>
      <c r="B66" s="124" t="s">
        <v>532</v>
      </c>
      <c r="C66" s="124" t="s">
        <v>1052</v>
      </c>
      <c r="D66" s="124" t="s">
        <v>1053</v>
      </c>
      <c r="E66" s="150">
        <v>9.6</v>
      </c>
      <c r="F66" s="150">
        <v>10.6</v>
      </c>
      <c r="G66" s="150">
        <v>26.5</v>
      </c>
      <c r="H66" s="150">
        <v>26.5</v>
      </c>
      <c r="I66" s="150">
        <v>16.85714286</v>
      </c>
      <c r="J66" s="150">
        <v>37.142857139999997</v>
      </c>
      <c r="K66" s="445">
        <v>-73.5</v>
      </c>
      <c r="L66" s="445">
        <v>-83.142857140000004</v>
      </c>
      <c r="M66" s="445">
        <v>-62.857142860000003</v>
      </c>
    </row>
    <row r="67" spans="1:13" x14ac:dyDescent="0.3">
      <c r="A67" s="124" t="s">
        <v>369</v>
      </c>
      <c r="B67" s="124" t="s">
        <v>532</v>
      </c>
      <c r="C67" s="124" t="s">
        <v>1056</v>
      </c>
      <c r="D67" s="124" t="s">
        <v>1053</v>
      </c>
      <c r="E67" s="150">
        <v>17.5</v>
      </c>
      <c r="F67" s="150">
        <v>12.8</v>
      </c>
      <c r="G67" s="150">
        <v>70.5</v>
      </c>
      <c r="H67" s="150">
        <v>70.5</v>
      </c>
      <c r="I67" s="150">
        <v>52.953968250000003</v>
      </c>
      <c r="J67" s="150">
        <v>83.274603170000006</v>
      </c>
      <c r="K67" s="445">
        <v>-29.5</v>
      </c>
      <c r="L67" s="445">
        <v>-47.046031749999997</v>
      </c>
      <c r="M67" s="445">
        <v>-16.725396830000001</v>
      </c>
    </row>
    <row r="68" spans="1:13" x14ac:dyDescent="0.3">
      <c r="A68" s="124" t="s">
        <v>369</v>
      </c>
      <c r="B68" s="124" t="s">
        <v>532</v>
      </c>
      <c r="C68" s="124" t="s">
        <v>1057</v>
      </c>
      <c r="D68" s="124" t="s">
        <v>1053</v>
      </c>
      <c r="E68" s="150">
        <v>0</v>
      </c>
      <c r="F68" s="150">
        <v>0</v>
      </c>
      <c r="G68" s="150">
        <v>100</v>
      </c>
      <c r="H68" s="150">
        <v>100</v>
      </c>
      <c r="I68" s="150">
        <v>100</v>
      </c>
      <c r="J68" s="150">
        <v>100</v>
      </c>
      <c r="K68" s="445">
        <v>0</v>
      </c>
      <c r="L68" s="445">
        <v>0</v>
      </c>
      <c r="M68" s="445">
        <v>0</v>
      </c>
    </row>
    <row r="69" spans="1:13" x14ac:dyDescent="0.3">
      <c r="A69" s="124" t="s">
        <v>369</v>
      </c>
      <c r="B69" s="146" t="s">
        <v>532</v>
      </c>
      <c r="C69" s="124" t="s">
        <v>1052</v>
      </c>
      <c r="D69" s="124" t="s">
        <v>1054</v>
      </c>
      <c r="E69" s="150">
        <v>14.8</v>
      </c>
      <c r="F69" s="150">
        <v>16.2</v>
      </c>
      <c r="G69" s="150">
        <v>20</v>
      </c>
      <c r="H69" s="150">
        <v>20</v>
      </c>
      <c r="I69" s="150">
        <v>5.220952381</v>
      </c>
      <c r="J69" s="150">
        <v>36.243809519999999</v>
      </c>
      <c r="K69" s="445">
        <v>-80</v>
      </c>
      <c r="L69" s="445">
        <v>-94.77904762</v>
      </c>
      <c r="M69" s="445">
        <v>-63.756190480000001</v>
      </c>
    </row>
    <row r="70" spans="1:13" x14ac:dyDescent="0.3">
      <c r="A70" s="124" t="s">
        <v>369</v>
      </c>
      <c r="B70" s="124" t="s">
        <v>532</v>
      </c>
      <c r="C70" s="124" t="s">
        <v>1056</v>
      </c>
      <c r="D70" s="124" t="s">
        <v>1054</v>
      </c>
      <c r="E70" s="150">
        <v>16.3</v>
      </c>
      <c r="F70" s="150">
        <v>15.3</v>
      </c>
      <c r="G70" s="150">
        <v>64.3</v>
      </c>
      <c r="H70" s="150">
        <v>64.3</v>
      </c>
      <c r="I70" s="150">
        <v>48.004761899999998</v>
      </c>
      <c r="J70" s="150">
        <v>79.561904760000004</v>
      </c>
      <c r="K70" s="445">
        <v>-35.700000000000003</v>
      </c>
      <c r="L70" s="445">
        <v>-51.995238100000002</v>
      </c>
      <c r="M70" s="445">
        <v>-20.438095239999999</v>
      </c>
    </row>
    <row r="71" spans="1:13" x14ac:dyDescent="0.3">
      <c r="A71" s="124" t="s">
        <v>369</v>
      </c>
      <c r="B71" s="124" t="s">
        <v>532</v>
      </c>
      <c r="C71" s="124" t="s">
        <v>1057</v>
      </c>
      <c r="D71" s="124" t="s">
        <v>1054</v>
      </c>
      <c r="E71" s="150">
        <v>16.3</v>
      </c>
      <c r="F71" s="150">
        <v>10.4</v>
      </c>
      <c r="G71" s="150">
        <v>97.8</v>
      </c>
      <c r="H71" s="150">
        <v>97.8</v>
      </c>
      <c r="I71" s="150">
        <v>81.54912281</v>
      </c>
      <c r="J71" s="150">
        <v>108.228655</v>
      </c>
      <c r="K71" s="445">
        <v>-2.2000000000000002</v>
      </c>
      <c r="L71" s="445">
        <v>-18.45087719</v>
      </c>
      <c r="M71" s="445">
        <v>8.2286549709999992</v>
      </c>
    </row>
    <row r="72" spans="1:13" x14ac:dyDescent="0.3">
      <c r="A72" s="124" t="s">
        <v>369</v>
      </c>
      <c r="B72" s="124" t="s">
        <v>532</v>
      </c>
      <c r="C72" s="124" t="s">
        <v>1052</v>
      </c>
      <c r="D72" s="124" t="s">
        <v>1055</v>
      </c>
      <c r="E72" s="150">
        <v>23.7</v>
      </c>
      <c r="F72" s="150">
        <v>19.600000000000001</v>
      </c>
      <c r="G72" s="150">
        <v>57.9</v>
      </c>
      <c r="H72" s="150">
        <v>57.9</v>
      </c>
      <c r="I72" s="150">
        <v>34.24</v>
      </c>
      <c r="J72" s="150">
        <v>77.487619050000006</v>
      </c>
      <c r="K72" s="445">
        <v>-42.1</v>
      </c>
      <c r="L72" s="445">
        <v>-65.760000000000005</v>
      </c>
      <c r="M72" s="445">
        <v>-22.512380950000001</v>
      </c>
    </row>
    <row r="73" spans="1:13" x14ac:dyDescent="0.3">
      <c r="A73" s="124" t="s">
        <v>369</v>
      </c>
      <c r="B73" s="124" t="s">
        <v>532</v>
      </c>
      <c r="C73" s="124" t="s">
        <v>1056</v>
      </c>
      <c r="D73" s="124" t="s">
        <v>1055</v>
      </c>
      <c r="E73" s="150">
        <v>19.3</v>
      </c>
      <c r="F73" s="150">
        <v>17.5</v>
      </c>
      <c r="G73" s="150">
        <v>81.2</v>
      </c>
      <c r="H73" s="150">
        <v>81.2</v>
      </c>
      <c r="I73" s="150">
        <v>61.853968250000001</v>
      </c>
      <c r="J73" s="150">
        <v>98.679365079999997</v>
      </c>
      <c r="K73" s="445">
        <v>-18.8</v>
      </c>
      <c r="L73" s="445">
        <v>-38.146031749999999</v>
      </c>
      <c r="M73" s="445">
        <v>-1.3206349209999999</v>
      </c>
    </row>
    <row r="74" spans="1:13" x14ac:dyDescent="0.3">
      <c r="A74" s="124" t="s">
        <v>369</v>
      </c>
      <c r="B74" s="146" t="s">
        <v>532</v>
      </c>
      <c r="C74" s="146" t="s">
        <v>1057</v>
      </c>
      <c r="D74" s="146" t="s">
        <v>1055</v>
      </c>
      <c r="E74" s="148">
        <v>20.3</v>
      </c>
      <c r="F74" s="148">
        <v>17.100000000000001</v>
      </c>
      <c r="G74" s="148">
        <v>91.9</v>
      </c>
      <c r="H74" s="148">
        <v>91.9</v>
      </c>
      <c r="I74" s="148">
        <v>71.629411759999996</v>
      </c>
      <c r="J74" s="148">
        <v>108.9515406</v>
      </c>
      <c r="K74" s="445">
        <v>-8.1</v>
      </c>
      <c r="L74" s="445">
        <v>-28.37058824</v>
      </c>
      <c r="M74" s="445">
        <v>8.9515406160000008</v>
      </c>
    </row>
    <row r="75" spans="1:13" x14ac:dyDescent="0.3">
      <c r="A75" s="124" t="s">
        <v>369</v>
      </c>
      <c r="B75" s="124" t="s">
        <v>378</v>
      </c>
      <c r="C75" s="124" t="s">
        <v>1052</v>
      </c>
      <c r="D75" s="124" t="s">
        <v>1053</v>
      </c>
      <c r="E75" s="150">
        <v>9.5</v>
      </c>
      <c r="F75" s="150">
        <v>11.1</v>
      </c>
      <c r="G75" s="150">
        <v>30.5</v>
      </c>
      <c r="H75" s="150">
        <v>30.5</v>
      </c>
      <c r="I75" s="150">
        <v>21</v>
      </c>
      <c r="J75" s="150">
        <v>41.642857139999997</v>
      </c>
      <c r="K75" s="445">
        <v>-69.5</v>
      </c>
      <c r="L75" s="445">
        <v>-79</v>
      </c>
      <c r="M75" s="445">
        <v>-58.357142860000003</v>
      </c>
    </row>
    <row r="76" spans="1:13" x14ac:dyDescent="0.3">
      <c r="A76" s="124" t="s">
        <v>369</v>
      </c>
      <c r="B76" s="124" t="s">
        <v>378</v>
      </c>
      <c r="C76" s="124" t="s">
        <v>1056</v>
      </c>
      <c r="D76" s="124" t="s">
        <v>1053</v>
      </c>
      <c r="E76" s="150">
        <v>11.9</v>
      </c>
      <c r="F76" s="150">
        <v>14.4</v>
      </c>
      <c r="G76" s="150">
        <v>73.5</v>
      </c>
      <c r="H76" s="150">
        <v>73.5</v>
      </c>
      <c r="I76" s="150">
        <v>61.563678799999998</v>
      </c>
      <c r="J76" s="150">
        <v>87.850606909999996</v>
      </c>
      <c r="K76" s="445">
        <v>-26.5</v>
      </c>
      <c r="L76" s="445">
        <v>-38.436321200000002</v>
      </c>
      <c r="M76" s="445">
        <v>-12.14939309</v>
      </c>
    </row>
    <row r="77" spans="1:13" x14ac:dyDescent="0.3">
      <c r="A77" s="124" t="s">
        <v>369</v>
      </c>
      <c r="B77" s="124" t="s">
        <v>378</v>
      </c>
      <c r="C77" s="124" t="s">
        <v>1057</v>
      </c>
      <c r="D77" s="124" t="s">
        <v>1053</v>
      </c>
      <c r="E77" s="150">
        <v>0</v>
      </c>
      <c r="F77" s="150">
        <v>0</v>
      </c>
      <c r="G77" s="150">
        <v>100</v>
      </c>
      <c r="H77" s="150">
        <v>100</v>
      </c>
      <c r="I77" s="150">
        <v>100</v>
      </c>
      <c r="J77" s="150">
        <v>100</v>
      </c>
      <c r="K77" s="445">
        <v>0</v>
      </c>
      <c r="L77" s="445">
        <v>0</v>
      </c>
      <c r="M77" s="445">
        <v>0</v>
      </c>
    </row>
    <row r="78" spans="1:13" x14ac:dyDescent="0.3">
      <c r="A78" s="124" t="s">
        <v>369</v>
      </c>
      <c r="B78" s="146" t="s">
        <v>378</v>
      </c>
      <c r="C78" s="124" t="s">
        <v>1052</v>
      </c>
      <c r="D78" s="124" t="s">
        <v>1054</v>
      </c>
      <c r="E78" s="150">
        <v>14.2</v>
      </c>
      <c r="F78" s="150">
        <v>18.3</v>
      </c>
      <c r="G78" s="150">
        <v>23.1</v>
      </c>
      <c r="H78" s="150">
        <v>23.1</v>
      </c>
      <c r="I78" s="150">
        <v>8.8980952379999998</v>
      </c>
      <c r="J78" s="150">
        <v>41.409523810000003</v>
      </c>
      <c r="K78" s="445">
        <v>-76.900000000000006</v>
      </c>
      <c r="L78" s="445">
        <v>-91.101904759999996</v>
      </c>
      <c r="M78" s="445">
        <v>-58.590476189999997</v>
      </c>
    </row>
    <row r="79" spans="1:13" x14ac:dyDescent="0.3">
      <c r="A79" s="124" t="s">
        <v>369</v>
      </c>
      <c r="B79" s="146" t="s">
        <v>378</v>
      </c>
      <c r="C79" s="124" t="s">
        <v>1056</v>
      </c>
      <c r="D79" s="146" t="s">
        <v>1054</v>
      </c>
      <c r="E79" s="150">
        <v>15.6</v>
      </c>
      <c r="F79" s="150">
        <v>22.5</v>
      </c>
      <c r="G79" s="150">
        <v>63.6</v>
      </c>
      <c r="H79" s="150">
        <v>63.6</v>
      </c>
      <c r="I79" s="150">
        <v>48.04666667</v>
      </c>
      <c r="J79" s="150">
        <v>86.121904760000007</v>
      </c>
      <c r="K79" s="445">
        <v>-36.4</v>
      </c>
      <c r="L79" s="445">
        <v>-51.95333333</v>
      </c>
      <c r="M79" s="445">
        <v>-13.87809524</v>
      </c>
    </row>
    <row r="80" spans="1:13" x14ac:dyDescent="0.3">
      <c r="A80" s="124" t="s">
        <v>369</v>
      </c>
      <c r="B80" s="124" t="s">
        <v>378</v>
      </c>
      <c r="C80" s="124" t="s">
        <v>1057</v>
      </c>
      <c r="D80" s="124" t="s">
        <v>1054</v>
      </c>
      <c r="E80" s="150">
        <v>18.100000000000001</v>
      </c>
      <c r="F80" s="150">
        <v>8.5</v>
      </c>
      <c r="G80" s="150">
        <v>100.3</v>
      </c>
      <c r="H80" s="150">
        <v>100.3</v>
      </c>
      <c r="I80" s="150">
        <v>82.231111110000001</v>
      </c>
      <c r="J80" s="150">
        <v>108.7644444</v>
      </c>
      <c r="K80" s="445">
        <v>0.3</v>
      </c>
      <c r="L80" s="445">
        <v>-17.768888889999999</v>
      </c>
      <c r="M80" s="445">
        <v>8.7644444440000004</v>
      </c>
    </row>
    <row r="81" spans="1:13" x14ac:dyDescent="0.3">
      <c r="A81" s="124" t="s">
        <v>369</v>
      </c>
      <c r="B81" s="124" t="s">
        <v>378</v>
      </c>
      <c r="C81" s="124" t="s">
        <v>1052</v>
      </c>
      <c r="D81" s="124" t="s">
        <v>1055</v>
      </c>
      <c r="E81" s="150">
        <v>35.200000000000003</v>
      </c>
      <c r="F81" s="150">
        <v>28.6</v>
      </c>
      <c r="G81" s="150">
        <v>60</v>
      </c>
      <c r="H81" s="150">
        <v>60</v>
      </c>
      <c r="I81" s="150">
        <v>24.819413919999999</v>
      </c>
      <c r="J81" s="150">
        <v>88.616117220000007</v>
      </c>
      <c r="K81" s="445">
        <v>-40</v>
      </c>
      <c r="L81" s="445">
        <v>-75.180586079999998</v>
      </c>
      <c r="M81" s="445">
        <v>-11.38388278</v>
      </c>
    </row>
    <row r="82" spans="1:13" x14ac:dyDescent="0.3">
      <c r="A82" s="124" t="s">
        <v>369</v>
      </c>
      <c r="B82" s="146" t="s">
        <v>378</v>
      </c>
      <c r="C82" s="146" t="s">
        <v>1056</v>
      </c>
      <c r="D82" s="146" t="s">
        <v>1055</v>
      </c>
      <c r="E82" s="148">
        <v>31.4</v>
      </c>
      <c r="F82" s="148">
        <v>31.7</v>
      </c>
      <c r="G82" s="148">
        <v>90</v>
      </c>
      <c r="H82" s="148">
        <v>90</v>
      </c>
      <c r="I82" s="148">
        <v>58.635897440000001</v>
      </c>
      <c r="J82" s="148">
        <v>121.72600730000001</v>
      </c>
      <c r="K82" s="445">
        <v>-10</v>
      </c>
      <c r="L82" s="445">
        <v>-41.364102559999999</v>
      </c>
      <c r="M82" s="445">
        <v>21.726007330000002</v>
      </c>
    </row>
    <row r="83" spans="1:13" x14ac:dyDescent="0.3">
      <c r="A83" s="124" t="s">
        <v>369</v>
      </c>
      <c r="B83" s="146" t="s">
        <v>378</v>
      </c>
      <c r="C83" s="146" t="s">
        <v>1057</v>
      </c>
      <c r="D83" s="124" t="s">
        <v>1055</v>
      </c>
      <c r="E83" s="148">
        <v>28.2</v>
      </c>
      <c r="F83" s="150">
        <v>19.3</v>
      </c>
      <c r="G83" s="150">
        <v>100.6</v>
      </c>
      <c r="H83" s="150">
        <v>100.6</v>
      </c>
      <c r="I83" s="150">
        <v>72.357142859999996</v>
      </c>
      <c r="J83" s="150">
        <v>119.8571429</v>
      </c>
      <c r="K83" s="445">
        <v>0.6</v>
      </c>
      <c r="L83" s="445">
        <v>-27.64285714</v>
      </c>
      <c r="M83" s="445">
        <v>19.85714286</v>
      </c>
    </row>
    <row r="84" spans="1:13" x14ac:dyDescent="0.3">
      <c r="A84" s="124" t="s">
        <v>369</v>
      </c>
      <c r="B84" s="124" t="s">
        <v>385</v>
      </c>
      <c r="C84" s="124" t="s">
        <v>1052</v>
      </c>
      <c r="D84" s="124" t="s">
        <v>1053</v>
      </c>
      <c r="E84" s="150">
        <v>9.5</v>
      </c>
      <c r="F84" s="150">
        <v>11.1</v>
      </c>
      <c r="G84" s="150">
        <v>30.5</v>
      </c>
      <c r="H84" s="150">
        <v>30.5</v>
      </c>
      <c r="I84" s="150">
        <v>21</v>
      </c>
      <c r="J84" s="150">
        <v>41.642857139999997</v>
      </c>
      <c r="K84" s="445">
        <v>-69.5</v>
      </c>
      <c r="L84" s="445">
        <v>-79</v>
      </c>
      <c r="M84" s="445">
        <v>-58.357142860000003</v>
      </c>
    </row>
    <row r="85" spans="1:13" x14ac:dyDescent="0.3">
      <c r="A85" s="124" t="s">
        <v>369</v>
      </c>
      <c r="B85" s="124" t="s">
        <v>385</v>
      </c>
      <c r="C85" s="124" t="s">
        <v>1056</v>
      </c>
      <c r="D85" s="124" t="s">
        <v>1053</v>
      </c>
      <c r="E85" s="150">
        <v>11.9</v>
      </c>
      <c r="F85" s="150">
        <v>14.4</v>
      </c>
      <c r="G85" s="150">
        <v>73.5</v>
      </c>
      <c r="H85" s="150">
        <v>73.5</v>
      </c>
      <c r="I85" s="150">
        <v>61.563678799999998</v>
      </c>
      <c r="J85" s="150">
        <v>87.850606909999996</v>
      </c>
      <c r="K85" s="445">
        <v>-26.5</v>
      </c>
      <c r="L85" s="445">
        <v>-38.436321200000002</v>
      </c>
      <c r="M85" s="445">
        <v>-12.14939309</v>
      </c>
    </row>
    <row r="86" spans="1:13" x14ac:dyDescent="0.3">
      <c r="A86" s="124" t="s">
        <v>369</v>
      </c>
      <c r="B86" s="124" t="s">
        <v>385</v>
      </c>
      <c r="C86" s="124" t="s">
        <v>1057</v>
      </c>
      <c r="D86" s="124" t="s">
        <v>1053</v>
      </c>
      <c r="E86" s="150">
        <v>0</v>
      </c>
      <c r="F86" s="150">
        <v>0</v>
      </c>
      <c r="G86" s="150">
        <v>100</v>
      </c>
      <c r="H86" s="150">
        <v>100</v>
      </c>
      <c r="I86" s="150">
        <v>100</v>
      </c>
      <c r="J86" s="150">
        <v>100</v>
      </c>
      <c r="K86" s="445">
        <v>0</v>
      </c>
      <c r="L86" s="445">
        <v>0</v>
      </c>
      <c r="M86" s="445">
        <v>0</v>
      </c>
    </row>
    <row r="87" spans="1:13" x14ac:dyDescent="0.3">
      <c r="A87" s="124" t="s">
        <v>369</v>
      </c>
      <c r="B87" s="146" t="s">
        <v>385</v>
      </c>
      <c r="C87" s="124" t="s">
        <v>1052</v>
      </c>
      <c r="D87" s="124" t="s">
        <v>1054</v>
      </c>
      <c r="E87" s="150">
        <v>14.2</v>
      </c>
      <c r="F87" s="150">
        <v>18.3</v>
      </c>
      <c r="G87" s="150">
        <v>23.1</v>
      </c>
      <c r="H87" s="150">
        <v>23.1</v>
      </c>
      <c r="I87" s="150">
        <v>8.8980952379999998</v>
      </c>
      <c r="J87" s="150">
        <v>41.409523810000003</v>
      </c>
      <c r="K87" s="445">
        <v>-76.900000000000006</v>
      </c>
      <c r="L87" s="445">
        <v>-91.101904759999996</v>
      </c>
      <c r="M87" s="445">
        <v>-58.590476189999997</v>
      </c>
    </row>
    <row r="88" spans="1:13" x14ac:dyDescent="0.3">
      <c r="A88" s="124" t="s">
        <v>369</v>
      </c>
      <c r="B88" s="146" t="s">
        <v>385</v>
      </c>
      <c r="C88" s="124" t="s">
        <v>1056</v>
      </c>
      <c r="D88" s="146" t="s">
        <v>1054</v>
      </c>
      <c r="E88" s="150">
        <v>15.6</v>
      </c>
      <c r="F88" s="150">
        <v>22.5</v>
      </c>
      <c r="G88" s="150">
        <v>63.6</v>
      </c>
      <c r="H88" s="150">
        <v>63.6</v>
      </c>
      <c r="I88" s="150">
        <v>48.04666667</v>
      </c>
      <c r="J88" s="150">
        <v>86.121904760000007</v>
      </c>
      <c r="K88" s="445">
        <v>-36.4</v>
      </c>
      <c r="L88" s="445">
        <v>-51.95333333</v>
      </c>
      <c r="M88" s="445">
        <v>-13.87809524</v>
      </c>
    </row>
    <row r="89" spans="1:13" x14ac:dyDescent="0.3">
      <c r="A89" s="124" t="s">
        <v>369</v>
      </c>
      <c r="B89" s="124" t="s">
        <v>385</v>
      </c>
      <c r="C89" s="124" t="s">
        <v>1057</v>
      </c>
      <c r="D89" s="124" t="s">
        <v>1054</v>
      </c>
      <c r="E89" s="150">
        <v>18.100000000000001</v>
      </c>
      <c r="F89" s="150">
        <v>8.5</v>
      </c>
      <c r="G89" s="150">
        <v>100.3</v>
      </c>
      <c r="H89" s="150">
        <v>100.3</v>
      </c>
      <c r="I89" s="150">
        <v>82.231111110000001</v>
      </c>
      <c r="J89" s="150">
        <v>108.7644444</v>
      </c>
      <c r="K89" s="445">
        <v>0.3</v>
      </c>
      <c r="L89" s="445">
        <v>-17.768888889999999</v>
      </c>
      <c r="M89" s="445">
        <v>8.7644444440000004</v>
      </c>
    </row>
    <row r="90" spans="1:13" x14ac:dyDescent="0.3">
      <c r="A90" s="124" t="s">
        <v>369</v>
      </c>
      <c r="B90" s="124" t="s">
        <v>385</v>
      </c>
      <c r="C90" s="124" t="s">
        <v>1052</v>
      </c>
      <c r="D90" s="124" t="s">
        <v>1055</v>
      </c>
      <c r="E90" s="150">
        <v>35.200000000000003</v>
      </c>
      <c r="F90" s="150">
        <v>28.6</v>
      </c>
      <c r="G90" s="150">
        <v>60</v>
      </c>
      <c r="H90" s="150">
        <v>60</v>
      </c>
      <c r="I90" s="150">
        <v>24.819413919999999</v>
      </c>
      <c r="J90" s="150">
        <v>88.616117220000007</v>
      </c>
      <c r="K90" s="445">
        <v>-40</v>
      </c>
      <c r="L90" s="445">
        <v>-75.180586079999998</v>
      </c>
      <c r="M90" s="445">
        <v>-11.38388278</v>
      </c>
    </row>
    <row r="91" spans="1:13" x14ac:dyDescent="0.3">
      <c r="A91" s="124" t="s">
        <v>369</v>
      </c>
      <c r="B91" s="146" t="s">
        <v>385</v>
      </c>
      <c r="C91" s="146" t="s">
        <v>1056</v>
      </c>
      <c r="D91" s="124" t="s">
        <v>1055</v>
      </c>
      <c r="E91" s="148">
        <v>31.4</v>
      </c>
      <c r="F91" s="150">
        <v>31.7</v>
      </c>
      <c r="G91" s="150">
        <v>90</v>
      </c>
      <c r="H91" s="150">
        <v>90</v>
      </c>
      <c r="I91" s="150">
        <v>58.635897440000001</v>
      </c>
      <c r="J91" s="150">
        <v>121.72600730000001</v>
      </c>
      <c r="K91" s="445">
        <v>-10</v>
      </c>
      <c r="L91" s="445">
        <v>-41.364102559999999</v>
      </c>
      <c r="M91" s="445">
        <v>21.726007330000002</v>
      </c>
    </row>
    <row r="92" spans="1:13" x14ac:dyDescent="0.3">
      <c r="A92" s="124" t="s">
        <v>369</v>
      </c>
      <c r="B92" s="146" t="s">
        <v>385</v>
      </c>
      <c r="C92" s="146" t="s">
        <v>1057</v>
      </c>
      <c r="D92" s="124" t="s">
        <v>1055</v>
      </c>
      <c r="E92" s="148">
        <v>28.2</v>
      </c>
      <c r="F92" s="150">
        <v>19.3</v>
      </c>
      <c r="G92" s="150">
        <v>100.6</v>
      </c>
      <c r="H92" s="150">
        <v>100.6</v>
      </c>
      <c r="I92" s="150">
        <v>72.357142859999996</v>
      </c>
      <c r="J92" s="150">
        <v>119.8571429</v>
      </c>
      <c r="K92" s="445">
        <v>0.6</v>
      </c>
      <c r="L92" s="445">
        <v>-27.64285714</v>
      </c>
      <c r="M92" s="445">
        <v>19.85714286</v>
      </c>
    </row>
    <row r="93" spans="1:13" x14ac:dyDescent="0.3">
      <c r="A93" s="124" t="s">
        <v>369</v>
      </c>
      <c r="B93" s="124" t="s">
        <v>372</v>
      </c>
      <c r="C93" s="124" t="s">
        <v>1052</v>
      </c>
      <c r="D93" s="124" t="s">
        <v>1053</v>
      </c>
      <c r="E93" s="150">
        <v>9.5</v>
      </c>
      <c r="F93" s="150">
        <v>11.1</v>
      </c>
      <c r="G93" s="150">
        <v>30.5</v>
      </c>
      <c r="H93" s="150">
        <v>30.5</v>
      </c>
      <c r="I93" s="150">
        <v>21</v>
      </c>
      <c r="J93" s="150">
        <v>41.642857139999997</v>
      </c>
      <c r="K93" s="445">
        <v>-69.5</v>
      </c>
      <c r="L93" s="445">
        <v>-79</v>
      </c>
      <c r="M93" s="445">
        <v>-58.357142860000003</v>
      </c>
    </row>
    <row r="94" spans="1:13" x14ac:dyDescent="0.3">
      <c r="A94" s="124" t="s">
        <v>369</v>
      </c>
      <c r="B94" s="124" t="s">
        <v>372</v>
      </c>
      <c r="C94" s="124" t="s">
        <v>1056</v>
      </c>
      <c r="D94" s="124" t="s">
        <v>1053</v>
      </c>
      <c r="E94" s="150">
        <v>11.9</v>
      </c>
      <c r="F94" s="150">
        <v>14.4</v>
      </c>
      <c r="G94" s="150">
        <v>73.5</v>
      </c>
      <c r="H94" s="150">
        <v>73.5</v>
      </c>
      <c r="I94" s="150">
        <v>61.563678799999998</v>
      </c>
      <c r="J94" s="150">
        <v>87.850606909999996</v>
      </c>
      <c r="K94" s="445">
        <v>-26.5</v>
      </c>
      <c r="L94" s="445">
        <v>-38.436321200000002</v>
      </c>
      <c r="M94" s="445">
        <v>-12.14939309</v>
      </c>
    </row>
    <row r="95" spans="1:13" x14ac:dyDescent="0.3">
      <c r="A95" s="124" t="s">
        <v>369</v>
      </c>
      <c r="B95" s="124" t="s">
        <v>372</v>
      </c>
      <c r="C95" s="124" t="s">
        <v>1057</v>
      </c>
      <c r="D95" s="124" t="s">
        <v>1053</v>
      </c>
      <c r="E95" s="150">
        <v>0</v>
      </c>
      <c r="F95" s="150">
        <v>0</v>
      </c>
      <c r="G95" s="150">
        <v>100</v>
      </c>
      <c r="H95" s="150">
        <v>100</v>
      </c>
      <c r="I95" s="150">
        <v>100</v>
      </c>
      <c r="J95" s="150">
        <v>100</v>
      </c>
      <c r="K95" s="445">
        <v>0</v>
      </c>
      <c r="L95" s="445">
        <v>0</v>
      </c>
      <c r="M95" s="445">
        <v>0</v>
      </c>
    </row>
    <row r="96" spans="1:13" x14ac:dyDescent="0.3">
      <c r="A96" s="124" t="s">
        <v>369</v>
      </c>
      <c r="B96" s="146" t="s">
        <v>372</v>
      </c>
      <c r="C96" s="124" t="s">
        <v>1052</v>
      </c>
      <c r="D96" s="124" t="s">
        <v>1054</v>
      </c>
      <c r="E96" s="150">
        <v>14.2</v>
      </c>
      <c r="F96" s="150">
        <v>18.3</v>
      </c>
      <c r="G96" s="150">
        <v>23.1</v>
      </c>
      <c r="H96" s="150">
        <v>23.1</v>
      </c>
      <c r="I96" s="150">
        <v>8.8980952379999998</v>
      </c>
      <c r="J96" s="150">
        <v>41.409523810000003</v>
      </c>
      <c r="K96" s="445">
        <v>-76.900000000000006</v>
      </c>
      <c r="L96" s="445">
        <v>-91.101904759999996</v>
      </c>
      <c r="M96" s="445">
        <v>-58.590476189999997</v>
      </c>
    </row>
    <row r="97" spans="1:13" x14ac:dyDescent="0.3">
      <c r="A97" s="124" t="s">
        <v>369</v>
      </c>
      <c r="B97" s="146" t="s">
        <v>372</v>
      </c>
      <c r="C97" s="124" t="s">
        <v>1056</v>
      </c>
      <c r="D97" s="146" t="s">
        <v>1054</v>
      </c>
      <c r="E97" s="150">
        <v>15.6</v>
      </c>
      <c r="F97" s="150">
        <v>22.5</v>
      </c>
      <c r="G97" s="150">
        <v>63.6</v>
      </c>
      <c r="H97" s="150">
        <v>63.6</v>
      </c>
      <c r="I97" s="150">
        <v>48.04666667</v>
      </c>
      <c r="J97" s="150">
        <v>86.121904760000007</v>
      </c>
      <c r="K97" s="445">
        <v>-36.4</v>
      </c>
      <c r="L97" s="445">
        <v>-51.95333333</v>
      </c>
      <c r="M97" s="445">
        <v>-13.87809524</v>
      </c>
    </row>
    <row r="98" spans="1:13" x14ac:dyDescent="0.3">
      <c r="A98" s="124" t="s">
        <v>369</v>
      </c>
      <c r="B98" s="124" t="s">
        <v>372</v>
      </c>
      <c r="C98" s="124" t="s">
        <v>1057</v>
      </c>
      <c r="D98" s="124" t="s">
        <v>1054</v>
      </c>
      <c r="E98" s="150">
        <v>18.100000000000001</v>
      </c>
      <c r="F98" s="150">
        <v>8.5</v>
      </c>
      <c r="G98" s="150">
        <v>100.3</v>
      </c>
      <c r="H98" s="150">
        <v>100.3</v>
      </c>
      <c r="I98" s="150">
        <v>82.231111110000001</v>
      </c>
      <c r="J98" s="150">
        <v>108.7644444</v>
      </c>
      <c r="K98" s="445">
        <v>0.3</v>
      </c>
      <c r="L98" s="445">
        <v>-17.768888889999999</v>
      </c>
      <c r="M98" s="445">
        <v>8.7644444440000004</v>
      </c>
    </row>
    <row r="99" spans="1:13" x14ac:dyDescent="0.3">
      <c r="A99" s="124" t="s">
        <v>369</v>
      </c>
      <c r="B99" s="124" t="s">
        <v>372</v>
      </c>
      <c r="C99" s="124" t="s">
        <v>1052</v>
      </c>
      <c r="D99" s="124" t="s">
        <v>1055</v>
      </c>
      <c r="E99" s="150">
        <v>35.200000000000003</v>
      </c>
      <c r="F99" s="150">
        <v>28.6</v>
      </c>
      <c r="G99" s="150">
        <v>60</v>
      </c>
      <c r="H99" s="150">
        <v>60</v>
      </c>
      <c r="I99" s="150">
        <v>24.819413919999999</v>
      </c>
      <c r="J99" s="150">
        <v>88.616117220000007</v>
      </c>
      <c r="K99" s="445">
        <v>-40</v>
      </c>
      <c r="L99" s="445">
        <v>-75.180586079999998</v>
      </c>
      <c r="M99" s="445">
        <v>-11.38388278</v>
      </c>
    </row>
    <row r="100" spans="1:13" x14ac:dyDescent="0.3">
      <c r="A100" s="124" t="s">
        <v>369</v>
      </c>
      <c r="B100" s="146" t="s">
        <v>372</v>
      </c>
      <c r="C100" s="146" t="s">
        <v>1056</v>
      </c>
      <c r="D100" s="146" t="s">
        <v>1055</v>
      </c>
      <c r="E100" s="148">
        <v>31.4</v>
      </c>
      <c r="F100" s="148">
        <v>31.7</v>
      </c>
      <c r="G100" s="148">
        <v>90</v>
      </c>
      <c r="H100" s="148">
        <v>90</v>
      </c>
      <c r="I100" s="148">
        <v>58.635897440000001</v>
      </c>
      <c r="J100" s="148">
        <v>121.72600730000001</v>
      </c>
      <c r="K100" s="445">
        <v>-10</v>
      </c>
      <c r="L100" s="445">
        <v>-41.364102559999999</v>
      </c>
      <c r="M100" s="445">
        <v>21.726007330000002</v>
      </c>
    </row>
    <row r="101" spans="1:13" x14ac:dyDescent="0.3">
      <c r="A101" s="124" t="s">
        <v>369</v>
      </c>
      <c r="B101" s="146" t="s">
        <v>372</v>
      </c>
      <c r="C101" s="146" t="s">
        <v>1057</v>
      </c>
      <c r="D101" s="124" t="s">
        <v>1055</v>
      </c>
      <c r="E101" s="148">
        <v>28.2</v>
      </c>
      <c r="F101" s="150">
        <v>19.3</v>
      </c>
      <c r="G101" s="150">
        <v>100.6</v>
      </c>
      <c r="H101" s="150">
        <v>100.6</v>
      </c>
      <c r="I101" s="150">
        <v>72.357142859999996</v>
      </c>
      <c r="J101" s="150">
        <v>119.8571429</v>
      </c>
      <c r="K101" s="445">
        <v>0.6</v>
      </c>
      <c r="L101" s="445">
        <v>-27.64285714</v>
      </c>
      <c r="M101" s="445">
        <v>19.85714286</v>
      </c>
    </row>
    <row r="102" spans="1:13" x14ac:dyDescent="0.3">
      <c r="A102" s="124" t="s">
        <v>369</v>
      </c>
      <c r="B102" s="124" t="s">
        <v>422</v>
      </c>
      <c r="C102" s="124" t="s">
        <v>1052</v>
      </c>
      <c r="D102" s="124" t="s">
        <v>1053</v>
      </c>
      <c r="E102" s="150">
        <v>7.8</v>
      </c>
      <c r="F102" s="150">
        <v>17.7</v>
      </c>
      <c r="G102" s="150">
        <v>63</v>
      </c>
      <c r="H102" s="150">
        <v>63</v>
      </c>
      <c r="I102" s="150">
        <v>55.166666669999998</v>
      </c>
      <c r="J102" s="150">
        <v>80.666666669999998</v>
      </c>
      <c r="K102" s="445">
        <v>-37</v>
      </c>
      <c r="L102" s="445">
        <v>-44.833333330000002</v>
      </c>
      <c r="M102" s="445">
        <v>-19.333333329999999</v>
      </c>
    </row>
    <row r="103" spans="1:13" x14ac:dyDescent="0.3">
      <c r="A103" s="124" t="s">
        <v>369</v>
      </c>
      <c r="B103" s="124" t="s">
        <v>422</v>
      </c>
      <c r="C103" s="124" t="s">
        <v>1056</v>
      </c>
      <c r="D103" s="124" t="s">
        <v>1053</v>
      </c>
      <c r="E103" s="150">
        <v>25.9</v>
      </c>
      <c r="F103" s="150">
        <v>26.8</v>
      </c>
      <c r="G103" s="150">
        <v>85.2</v>
      </c>
      <c r="H103" s="150">
        <v>85.2</v>
      </c>
      <c r="I103" s="150">
        <v>59.278770459999997</v>
      </c>
      <c r="J103" s="150">
        <v>111.96996900000001</v>
      </c>
      <c r="K103" s="445">
        <v>-14.8</v>
      </c>
      <c r="L103" s="445">
        <v>-40.721229540000003</v>
      </c>
      <c r="M103" s="445">
        <v>11.969969040000001</v>
      </c>
    </row>
    <row r="104" spans="1:13" x14ac:dyDescent="0.3">
      <c r="A104" s="124" t="s">
        <v>369</v>
      </c>
      <c r="B104" s="124" t="s">
        <v>422</v>
      </c>
      <c r="C104" s="124" t="s">
        <v>1057</v>
      </c>
      <c r="D104" s="124" t="s">
        <v>1053</v>
      </c>
      <c r="E104" s="150">
        <v>0</v>
      </c>
      <c r="F104" s="150">
        <v>0</v>
      </c>
      <c r="G104" s="150">
        <v>100</v>
      </c>
      <c r="H104" s="150">
        <v>100</v>
      </c>
      <c r="I104" s="150">
        <v>100</v>
      </c>
      <c r="J104" s="150">
        <v>100</v>
      </c>
      <c r="K104" s="445">
        <v>0</v>
      </c>
      <c r="L104" s="445">
        <v>0</v>
      </c>
      <c r="M104" s="445">
        <v>0</v>
      </c>
    </row>
    <row r="105" spans="1:13" x14ac:dyDescent="0.3">
      <c r="A105" s="124" t="s">
        <v>369</v>
      </c>
      <c r="B105" s="146" t="s">
        <v>422</v>
      </c>
      <c r="C105" s="124" t="s">
        <v>1052</v>
      </c>
      <c r="D105" s="124" t="s">
        <v>1054</v>
      </c>
      <c r="E105" s="150">
        <v>18.5</v>
      </c>
      <c r="F105" s="150">
        <v>21.5</v>
      </c>
      <c r="G105" s="150">
        <v>48</v>
      </c>
      <c r="H105" s="150">
        <v>48</v>
      </c>
      <c r="I105" s="150">
        <v>29.452380949999998</v>
      </c>
      <c r="J105" s="150">
        <v>69.5</v>
      </c>
      <c r="K105" s="445">
        <v>-52</v>
      </c>
      <c r="L105" s="445">
        <v>-70.547619049999994</v>
      </c>
      <c r="M105" s="445">
        <v>-30.5</v>
      </c>
    </row>
    <row r="106" spans="1:13" x14ac:dyDescent="0.3">
      <c r="A106" s="124" t="s">
        <v>369</v>
      </c>
      <c r="B106" s="124" t="s">
        <v>422</v>
      </c>
      <c r="C106" s="124" t="s">
        <v>1056</v>
      </c>
      <c r="D106" s="124" t="s">
        <v>1054</v>
      </c>
      <c r="E106" s="150">
        <v>23.2</v>
      </c>
      <c r="F106" s="150">
        <v>22.7</v>
      </c>
      <c r="G106" s="150">
        <v>68.5</v>
      </c>
      <c r="H106" s="150">
        <v>68.5</v>
      </c>
      <c r="I106" s="150">
        <v>45.283296479999997</v>
      </c>
      <c r="J106" s="150">
        <v>91.191640870000001</v>
      </c>
      <c r="K106" s="445">
        <v>-31.5</v>
      </c>
      <c r="L106" s="445">
        <v>-54.716703520000003</v>
      </c>
      <c r="M106" s="445">
        <v>-8.8083591329999997</v>
      </c>
    </row>
    <row r="107" spans="1:13" x14ac:dyDescent="0.3">
      <c r="A107" s="124" t="s">
        <v>369</v>
      </c>
      <c r="B107" s="124" t="s">
        <v>422</v>
      </c>
      <c r="C107" s="124" t="s">
        <v>1057</v>
      </c>
      <c r="D107" s="124" t="s">
        <v>1054</v>
      </c>
      <c r="E107" s="150">
        <v>18.100000000000001</v>
      </c>
      <c r="F107" s="150">
        <v>13</v>
      </c>
      <c r="G107" s="150">
        <v>95.8</v>
      </c>
      <c r="H107" s="150">
        <v>95.8</v>
      </c>
      <c r="I107" s="150">
        <v>77.708639250000004</v>
      </c>
      <c r="J107" s="150">
        <v>108.8330974</v>
      </c>
      <c r="K107" s="445">
        <v>-4.2</v>
      </c>
      <c r="L107" s="445">
        <v>-22.291360749999999</v>
      </c>
      <c r="M107" s="445">
        <v>8.8330974500000004</v>
      </c>
    </row>
    <row r="108" spans="1:13" x14ac:dyDescent="0.3">
      <c r="A108" s="124" t="s">
        <v>369</v>
      </c>
      <c r="B108" s="124" t="s">
        <v>422</v>
      </c>
      <c r="C108" s="124" t="s">
        <v>1052</v>
      </c>
      <c r="D108" s="124" t="s">
        <v>1055</v>
      </c>
      <c r="E108" s="150">
        <v>26.6</v>
      </c>
      <c r="F108" s="150">
        <v>24.4</v>
      </c>
      <c r="G108" s="150">
        <v>71.400000000000006</v>
      </c>
      <c r="H108" s="150">
        <v>71.400000000000006</v>
      </c>
      <c r="I108" s="150">
        <v>44.804761900000003</v>
      </c>
      <c r="J108" s="150">
        <v>95.804761900000003</v>
      </c>
      <c r="K108" s="445">
        <v>-28.6</v>
      </c>
      <c r="L108" s="445">
        <v>-55.195238099999997</v>
      </c>
      <c r="M108" s="445">
        <v>-4.1952380949999997</v>
      </c>
    </row>
    <row r="109" spans="1:13" x14ac:dyDescent="0.3">
      <c r="A109" s="124" t="s">
        <v>369</v>
      </c>
      <c r="B109" s="124" t="s">
        <v>422</v>
      </c>
      <c r="C109" s="124" t="s">
        <v>1056</v>
      </c>
      <c r="D109" s="124" t="s">
        <v>1055</v>
      </c>
      <c r="E109" s="150">
        <v>27.9</v>
      </c>
      <c r="F109" s="150">
        <v>18.8</v>
      </c>
      <c r="G109" s="150">
        <v>82</v>
      </c>
      <c r="H109" s="150">
        <v>82</v>
      </c>
      <c r="I109" s="150">
        <v>54.076741849999998</v>
      </c>
      <c r="J109" s="150">
        <v>100.8239098</v>
      </c>
      <c r="K109" s="445">
        <v>-18</v>
      </c>
      <c r="L109" s="445">
        <v>-45.923258150000002</v>
      </c>
      <c r="M109" s="445">
        <v>0.82390977399999998</v>
      </c>
    </row>
    <row r="110" spans="1:13" x14ac:dyDescent="0.3">
      <c r="A110" s="124" t="s">
        <v>369</v>
      </c>
      <c r="B110" s="146" t="s">
        <v>422</v>
      </c>
      <c r="C110" s="146" t="s">
        <v>1057</v>
      </c>
      <c r="D110" s="146" t="s">
        <v>1055</v>
      </c>
      <c r="E110" s="148">
        <v>22.4</v>
      </c>
      <c r="F110" s="148">
        <v>19.7</v>
      </c>
      <c r="G110" s="148">
        <v>87.6</v>
      </c>
      <c r="H110" s="148">
        <v>87.6</v>
      </c>
      <c r="I110" s="148">
        <v>65.156718269999999</v>
      </c>
      <c r="J110" s="148">
        <v>107.28889580000001</v>
      </c>
      <c r="K110" s="445">
        <v>-12.4</v>
      </c>
      <c r="L110" s="445">
        <v>-34.843281730000001</v>
      </c>
      <c r="M110" s="445">
        <v>7.2888957689999998</v>
      </c>
    </row>
    <row r="111" spans="1:13" x14ac:dyDescent="0.3">
      <c r="A111" s="124" t="s">
        <v>369</v>
      </c>
      <c r="B111" s="124" t="s">
        <v>425</v>
      </c>
      <c r="C111" s="124" t="s">
        <v>1052</v>
      </c>
      <c r="D111" s="124" t="s">
        <v>1053</v>
      </c>
      <c r="E111" s="150">
        <v>8.5</v>
      </c>
      <c r="F111" s="150">
        <v>11.3</v>
      </c>
      <c r="G111" s="150">
        <v>28.2</v>
      </c>
      <c r="H111" s="150">
        <v>28.2</v>
      </c>
      <c r="I111" s="150">
        <v>19.73926483</v>
      </c>
      <c r="J111" s="150">
        <v>39.462322469999997</v>
      </c>
      <c r="K111" s="445">
        <v>-71.8</v>
      </c>
      <c r="L111" s="445">
        <v>-80.260735170000004</v>
      </c>
      <c r="M111" s="445">
        <v>-60.537677530000003</v>
      </c>
    </row>
    <row r="112" spans="1:13" x14ac:dyDescent="0.3">
      <c r="A112" s="124" t="s">
        <v>369</v>
      </c>
      <c r="B112" s="124" t="s">
        <v>425</v>
      </c>
      <c r="C112" s="124" t="s">
        <v>1056</v>
      </c>
      <c r="D112" s="124" t="s">
        <v>1053</v>
      </c>
      <c r="E112" s="150">
        <v>15</v>
      </c>
      <c r="F112" s="150">
        <v>17.600000000000001</v>
      </c>
      <c r="G112" s="150">
        <v>65.8</v>
      </c>
      <c r="H112" s="150">
        <v>65.8</v>
      </c>
      <c r="I112" s="150">
        <v>50.815037590000003</v>
      </c>
      <c r="J112" s="150">
        <v>83.404010029999995</v>
      </c>
      <c r="K112" s="445">
        <v>-34.200000000000003</v>
      </c>
      <c r="L112" s="445">
        <v>-49.184962409999997</v>
      </c>
      <c r="M112" s="445">
        <v>-16.595989970000002</v>
      </c>
    </row>
    <row r="113" spans="1:13" x14ac:dyDescent="0.3">
      <c r="A113" s="124" t="s">
        <v>369</v>
      </c>
      <c r="B113" s="124" t="s">
        <v>425</v>
      </c>
      <c r="C113" s="124" t="s">
        <v>1057</v>
      </c>
      <c r="D113" s="124" t="s">
        <v>1053</v>
      </c>
      <c r="E113" s="150">
        <v>0</v>
      </c>
      <c r="F113" s="150">
        <v>0</v>
      </c>
      <c r="G113" s="150">
        <v>100</v>
      </c>
      <c r="H113" s="150">
        <v>100</v>
      </c>
      <c r="I113" s="150">
        <v>100</v>
      </c>
      <c r="J113" s="150">
        <v>100</v>
      </c>
      <c r="K113" s="445">
        <v>0</v>
      </c>
      <c r="L113" s="445">
        <v>0</v>
      </c>
      <c r="M113" s="445">
        <v>0</v>
      </c>
    </row>
    <row r="114" spans="1:13" x14ac:dyDescent="0.3">
      <c r="A114" s="124" t="s">
        <v>369</v>
      </c>
      <c r="B114" s="146" t="s">
        <v>425</v>
      </c>
      <c r="C114" s="124" t="s">
        <v>1052</v>
      </c>
      <c r="D114" s="124" t="s">
        <v>1054</v>
      </c>
      <c r="E114" s="150">
        <v>16.600000000000001</v>
      </c>
      <c r="F114" s="150">
        <v>15.4</v>
      </c>
      <c r="G114" s="150">
        <v>23</v>
      </c>
      <c r="H114" s="150">
        <v>23</v>
      </c>
      <c r="I114" s="150">
        <v>6.4489377289999998</v>
      </c>
      <c r="J114" s="150">
        <v>38.449816849999998</v>
      </c>
      <c r="K114" s="445">
        <v>-77</v>
      </c>
      <c r="L114" s="445">
        <v>-93.551062270000003</v>
      </c>
      <c r="M114" s="445">
        <v>-61.550183150000002</v>
      </c>
    </row>
    <row r="115" spans="1:13" x14ac:dyDescent="0.3">
      <c r="A115" s="124" t="s">
        <v>369</v>
      </c>
      <c r="B115" s="146" t="s">
        <v>425</v>
      </c>
      <c r="C115" s="124" t="s">
        <v>1056</v>
      </c>
      <c r="D115" s="124" t="s">
        <v>1054</v>
      </c>
      <c r="E115" s="150">
        <v>17.7</v>
      </c>
      <c r="F115" s="150">
        <v>21.2</v>
      </c>
      <c r="G115" s="150">
        <v>56</v>
      </c>
      <c r="H115" s="150">
        <v>56</v>
      </c>
      <c r="I115" s="150">
        <v>38.3213431</v>
      </c>
      <c r="J115" s="150">
        <v>77.205006109999999</v>
      </c>
      <c r="K115" s="445">
        <v>-44</v>
      </c>
      <c r="L115" s="445">
        <v>-61.6786569</v>
      </c>
      <c r="M115" s="445">
        <v>-22.794993890000001</v>
      </c>
    </row>
    <row r="116" spans="1:13" x14ac:dyDescent="0.3">
      <c r="A116" s="124" t="s">
        <v>369</v>
      </c>
      <c r="B116" s="124" t="s">
        <v>425</v>
      </c>
      <c r="C116" s="124" t="s">
        <v>1057</v>
      </c>
      <c r="D116" s="124" t="s">
        <v>1054</v>
      </c>
      <c r="E116" s="150">
        <v>15.5</v>
      </c>
      <c r="F116" s="150">
        <v>10.199999999999999</v>
      </c>
      <c r="G116" s="150">
        <v>99.1</v>
      </c>
      <c r="H116" s="150">
        <v>99.1</v>
      </c>
      <c r="I116" s="150">
        <v>83.582051280000002</v>
      </c>
      <c r="J116" s="150">
        <v>109.3</v>
      </c>
      <c r="K116" s="445">
        <v>-0.9</v>
      </c>
      <c r="L116" s="445">
        <v>-16.417948719999998</v>
      </c>
      <c r="M116" s="445">
        <v>9.3170940170000005</v>
      </c>
    </row>
    <row r="117" spans="1:13" x14ac:dyDescent="0.3">
      <c r="A117" s="124" t="s">
        <v>369</v>
      </c>
      <c r="B117" s="124" t="s">
        <v>425</v>
      </c>
      <c r="C117" s="124" t="s">
        <v>1052</v>
      </c>
      <c r="D117" s="124" t="s">
        <v>1055</v>
      </c>
      <c r="E117" s="150">
        <v>29.6</v>
      </c>
      <c r="F117" s="150">
        <v>24</v>
      </c>
      <c r="G117" s="150">
        <v>50.7</v>
      </c>
      <c r="H117" s="150">
        <v>50.7</v>
      </c>
      <c r="I117" s="150">
        <v>21.128278389999998</v>
      </c>
      <c r="J117" s="150">
        <v>74.742490840000002</v>
      </c>
      <c r="K117" s="445">
        <v>-49.3</v>
      </c>
      <c r="L117" s="445">
        <v>-78.871721609999994</v>
      </c>
      <c r="M117" s="445">
        <v>-25.257509160000001</v>
      </c>
    </row>
    <row r="118" spans="1:13" x14ac:dyDescent="0.3">
      <c r="A118" s="124" t="s">
        <v>369</v>
      </c>
      <c r="B118" s="124" t="s">
        <v>425</v>
      </c>
      <c r="C118" s="124" t="s">
        <v>1056</v>
      </c>
      <c r="D118" s="124" t="s">
        <v>1055</v>
      </c>
      <c r="E118" s="150">
        <v>26</v>
      </c>
      <c r="F118" s="150">
        <v>18.3</v>
      </c>
      <c r="G118" s="150">
        <v>73.8</v>
      </c>
      <c r="H118" s="150">
        <v>73.8</v>
      </c>
      <c r="I118" s="150">
        <v>47.828278390000001</v>
      </c>
      <c r="J118" s="150">
        <v>92.145054950000002</v>
      </c>
      <c r="K118" s="445">
        <v>-26.2</v>
      </c>
      <c r="L118" s="445">
        <v>-52.171721609999999</v>
      </c>
      <c r="M118" s="445">
        <v>-7.854945055</v>
      </c>
    </row>
    <row r="119" spans="1:13" x14ac:dyDescent="0.3">
      <c r="A119" s="124" t="s">
        <v>369</v>
      </c>
      <c r="B119" s="146" t="s">
        <v>425</v>
      </c>
      <c r="C119" s="146" t="s">
        <v>1057</v>
      </c>
      <c r="D119" s="124" t="s">
        <v>1055</v>
      </c>
      <c r="E119" s="148">
        <v>17.5</v>
      </c>
      <c r="F119" s="150">
        <v>24.5</v>
      </c>
      <c r="G119" s="150">
        <v>94.3</v>
      </c>
      <c r="H119" s="150">
        <v>94.3</v>
      </c>
      <c r="I119" s="150">
        <v>76.788766789999997</v>
      </c>
      <c r="J119" s="150">
        <v>118.7625153</v>
      </c>
      <c r="K119" s="445">
        <v>-5.7</v>
      </c>
      <c r="L119" s="445">
        <v>-23.21123321</v>
      </c>
      <c r="M119" s="445">
        <v>18.762515260000001</v>
      </c>
    </row>
    <row r="120" spans="1:13" x14ac:dyDescent="0.3">
      <c r="A120" s="124" t="s">
        <v>369</v>
      </c>
      <c r="B120" s="124" t="s">
        <v>431</v>
      </c>
      <c r="C120" s="124" t="s">
        <v>1052</v>
      </c>
      <c r="D120" s="124" t="s">
        <v>1053</v>
      </c>
      <c r="E120" s="150">
        <v>9.8000000000000007</v>
      </c>
      <c r="F120" s="150">
        <v>15</v>
      </c>
      <c r="G120" s="150">
        <v>38.9</v>
      </c>
      <c r="H120" s="150">
        <v>38.9</v>
      </c>
      <c r="I120" s="150">
        <v>29.092063490000001</v>
      </c>
      <c r="J120" s="150">
        <v>53.885714290000003</v>
      </c>
      <c r="K120" s="445">
        <v>-61.1</v>
      </c>
      <c r="L120" s="445">
        <v>-70.907936509999999</v>
      </c>
      <c r="M120" s="445">
        <v>-46.114285709999997</v>
      </c>
    </row>
    <row r="121" spans="1:13" x14ac:dyDescent="0.3">
      <c r="A121" s="124" t="s">
        <v>369</v>
      </c>
      <c r="B121" s="124" t="s">
        <v>431</v>
      </c>
      <c r="C121" s="124" t="s">
        <v>1056</v>
      </c>
      <c r="D121" s="124" t="s">
        <v>1053</v>
      </c>
      <c r="E121" s="150">
        <v>12.3</v>
      </c>
      <c r="F121" s="150">
        <v>17</v>
      </c>
      <c r="G121" s="150">
        <v>80.8</v>
      </c>
      <c r="H121" s="150">
        <v>80.8</v>
      </c>
      <c r="I121" s="150">
        <v>68.538444150000004</v>
      </c>
      <c r="J121" s="150">
        <v>97.808934100000002</v>
      </c>
      <c r="K121" s="445">
        <v>-19.2</v>
      </c>
      <c r="L121" s="445">
        <v>-31.46155585</v>
      </c>
      <c r="M121" s="445">
        <v>-2.1910658999999999</v>
      </c>
    </row>
    <row r="122" spans="1:13" x14ac:dyDescent="0.3">
      <c r="A122" s="124" t="s">
        <v>369</v>
      </c>
      <c r="B122" s="124" t="s">
        <v>431</v>
      </c>
      <c r="C122" s="124" t="s">
        <v>1057</v>
      </c>
      <c r="D122" s="124" t="s">
        <v>1053</v>
      </c>
      <c r="E122" s="150">
        <v>0</v>
      </c>
      <c r="F122" s="150">
        <v>0</v>
      </c>
      <c r="G122" s="150">
        <v>100</v>
      </c>
      <c r="H122" s="150">
        <v>100</v>
      </c>
      <c r="I122" s="150">
        <v>100</v>
      </c>
      <c r="J122" s="150">
        <v>100</v>
      </c>
      <c r="K122" s="445">
        <v>0</v>
      </c>
      <c r="L122" s="445">
        <v>0</v>
      </c>
      <c r="M122" s="445">
        <v>0</v>
      </c>
    </row>
    <row r="123" spans="1:13" x14ac:dyDescent="0.3">
      <c r="A123" s="124" t="s">
        <v>369</v>
      </c>
      <c r="B123" s="146" t="s">
        <v>431</v>
      </c>
      <c r="C123" s="124" t="s">
        <v>1052</v>
      </c>
      <c r="D123" s="146" t="s">
        <v>1054</v>
      </c>
      <c r="E123" s="150">
        <v>18.100000000000001</v>
      </c>
      <c r="F123" s="150">
        <v>22.4</v>
      </c>
      <c r="G123" s="150">
        <v>34</v>
      </c>
      <c r="H123" s="150">
        <v>34</v>
      </c>
      <c r="I123" s="150">
        <v>15.87301587</v>
      </c>
      <c r="J123" s="150">
        <v>56.420634919999998</v>
      </c>
      <c r="K123" s="445">
        <v>-66</v>
      </c>
      <c r="L123" s="445">
        <v>-84.126984129999997</v>
      </c>
      <c r="M123" s="445">
        <v>-43.579365080000002</v>
      </c>
    </row>
    <row r="124" spans="1:13" x14ac:dyDescent="0.3">
      <c r="A124" s="124" t="s">
        <v>369</v>
      </c>
      <c r="B124" s="124" t="s">
        <v>431</v>
      </c>
      <c r="C124" s="124" t="s">
        <v>1056</v>
      </c>
      <c r="D124" s="124" t="s">
        <v>1054</v>
      </c>
      <c r="E124" s="150">
        <v>12.3</v>
      </c>
      <c r="F124" s="150">
        <v>16.8</v>
      </c>
      <c r="G124" s="150">
        <v>73.099999999999994</v>
      </c>
      <c r="H124" s="150">
        <v>73.099999999999994</v>
      </c>
      <c r="I124" s="150">
        <v>60.834920629999999</v>
      </c>
      <c r="J124" s="150">
        <v>89.882539679999994</v>
      </c>
      <c r="K124" s="445">
        <v>-26.9</v>
      </c>
      <c r="L124" s="445">
        <v>-39.165079370000001</v>
      </c>
      <c r="M124" s="445">
        <v>-10.117460319999999</v>
      </c>
    </row>
    <row r="125" spans="1:13" x14ac:dyDescent="0.3">
      <c r="A125" s="124" t="s">
        <v>369</v>
      </c>
      <c r="B125" s="124" t="s">
        <v>431</v>
      </c>
      <c r="C125" s="124" t="s">
        <v>1057</v>
      </c>
      <c r="D125" s="124" t="s">
        <v>1054</v>
      </c>
      <c r="E125" s="150">
        <v>13.8</v>
      </c>
      <c r="F125" s="150">
        <v>9</v>
      </c>
      <c r="G125" s="150">
        <v>98.6</v>
      </c>
      <c r="H125" s="150">
        <v>98.6</v>
      </c>
      <c r="I125" s="150">
        <v>84.767251459999997</v>
      </c>
      <c r="J125" s="150">
        <v>107.619883</v>
      </c>
      <c r="K125" s="445">
        <v>-1.4</v>
      </c>
      <c r="L125" s="445">
        <v>-15.232748539999999</v>
      </c>
      <c r="M125" s="445">
        <v>7.6198830409999996</v>
      </c>
    </row>
    <row r="126" spans="1:13" x14ac:dyDescent="0.3">
      <c r="A126" s="124" t="s">
        <v>369</v>
      </c>
      <c r="B126" s="124" t="s">
        <v>431</v>
      </c>
      <c r="C126" s="124" t="s">
        <v>1052</v>
      </c>
      <c r="D126" s="124" t="s">
        <v>1055</v>
      </c>
      <c r="E126" s="150">
        <v>26.9</v>
      </c>
      <c r="F126" s="150">
        <v>22.5</v>
      </c>
      <c r="G126" s="150">
        <v>63.8</v>
      </c>
      <c r="H126" s="150">
        <v>63.8</v>
      </c>
      <c r="I126" s="150">
        <v>36.890476190000001</v>
      </c>
      <c r="J126" s="150">
        <v>86.277777779999994</v>
      </c>
      <c r="K126" s="445">
        <v>-36.200000000000003</v>
      </c>
      <c r="L126" s="445">
        <v>-63.109523809999999</v>
      </c>
      <c r="M126" s="445">
        <v>-13.722222220000001</v>
      </c>
    </row>
    <row r="127" spans="1:13" x14ac:dyDescent="0.3">
      <c r="A127" s="124" t="s">
        <v>369</v>
      </c>
      <c r="B127" s="146" t="s">
        <v>431</v>
      </c>
      <c r="C127" s="146" t="s">
        <v>1056</v>
      </c>
      <c r="D127" s="124" t="s">
        <v>1055</v>
      </c>
      <c r="E127" s="148">
        <v>22.4</v>
      </c>
      <c r="F127" s="150">
        <v>14.1</v>
      </c>
      <c r="G127" s="150">
        <v>90.9</v>
      </c>
      <c r="H127" s="150">
        <v>90.9</v>
      </c>
      <c r="I127" s="150">
        <v>68.453968250000003</v>
      </c>
      <c r="J127" s="150">
        <v>105.031746</v>
      </c>
      <c r="K127" s="445">
        <v>-9.1</v>
      </c>
      <c r="L127" s="445">
        <v>-31.546031750000001</v>
      </c>
      <c r="M127" s="445">
        <v>5.031746032</v>
      </c>
    </row>
    <row r="128" spans="1:13" x14ac:dyDescent="0.3">
      <c r="A128" s="124" t="s">
        <v>369</v>
      </c>
      <c r="B128" s="146" t="s">
        <v>431</v>
      </c>
      <c r="C128" s="146" t="s">
        <v>1057</v>
      </c>
      <c r="D128" s="124" t="s">
        <v>1055</v>
      </c>
      <c r="E128" s="148">
        <v>15.1</v>
      </c>
      <c r="F128" s="150">
        <v>19.8</v>
      </c>
      <c r="G128" s="150">
        <v>96.1</v>
      </c>
      <c r="H128" s="150">
        <v>96.1</v>
      </c>
      <c r="I128" s="150">
        <v>80.956164920000006</v>
      </c>
      <c r="J128" s="150">
        <v>115.9362721</v>
      </c>
      <c r="K128" s="445">
        <v>-3.9</v>
      </c>
      <c r="L128" s="445">
        <v>-19.043835080000001</v>
      </c>
      <c r="M128" s="445">
        <v>15.936272049999999</v>
      </c>
    </row>
    <row r="129" spans="1:13" x14ac:dyDescent="0.3">
      <c r="A129" s="124" t="s">
        <v>369</v>
      </c>
      <c r="B129" s="124" t="s">
        <v>429</v>
      </c>
      <c r="C129" s="124" t="s">
        <v>1052</v>
      </c>
      <c r="D129" s="124" t="s">
        <v>1053</v>
      </c>
      <c r="E129" s="150">
        <v>9.8000000000000007</v>
      </c>
      <c r="F129" s="150">
        <v>15</v>
      </c>
      <c r="G129" s="150">
        <v>38.9</v>
      </c>
      <c r="H129" s="150">
        <v>38.9</v>
      </c>
      <c r="I129" s="150">
        <v>29.092063490000001</v>
      </c>
      <c r="J129" s="150">
        <v>53.885714290000003</v>
      </c>
      <c r="K129" s="445">
        <v>-61.1</v>
      </c>
      <c r="L129" s="445">
        <v>-70.907936509999999</v>
      </c>
      <c r="M129" s="445">
        <v>-46.114285709999997</v>
      </c>
    </row>
    <row r="130" spans="1:13" x14ac:dyDescent="0.3">
      <c r="A130" s="124" t="s">
        <v>369</v>
      </c>
      <c r="B130" s="124" t="s">
        <v>429</v>
      </c>
      <c r="C130" s="124" t="s">
        <v>1056</v>
      </c>
      <c r="D130" s="124" t="s">
        <v>1053</v>
      </c>
      <c r="E130" s="150">
        <v>12.3</v>
      </c>
      <c r="F130" s="150">
        <v>17</v>
      </c>
      <c r="G130" s="150">
        <v>80.8</v>
      </c>
      <c r="H130" s="150">
        <v>80.8</v>
      </c>
      <c r="I130" s="150">
        <v>68.538444150000004</v>
      </c>
      <c r="J130" s="150">
        <v>97.808934100000002</v>
      </c>
      <c r="K130" s="445">
        <v>-19.2</v>
      </c>
      <c r="L130" s="445">
        <v>-31.46155585</v>
      </c>
      <c r="M130" s="445">
        <v>-2.1910658999999999</v>
      </c>
    </row>
    <row r="131" spans="1:13" x14ac:dyDescent="0.3">
      <c r="A131" s="124" t="s">
        <v>369</v>
      </c>
      <c r="B131" s="124" t="s">
        <v>429</v>
      </c>
      <c r="C131" s="124" t="s">
        <v>1057</v>
      </c>
      <c r="D131" s="124" t="s">
        <v>1053</v>
      </c>
      <c r="E131" s="150">
        <v>0</v>
      </c>
      <c r="F131" s="150">
        <v>0</v>
      </c>
      <c r="G131" s="150">
        <v>100</v>
      </c>
      <c r="H131" s="150">
        <v>100</v>
      </c>
      <c r="I131" s="150">
        <v>100</v>
      </c>
      <c r="J131" s="150">
        <v>100</v>
      </c>
      <c r="K131" s="445">
        <v>0</v>
      </c>
      <c r="L131" s="445">
        <v>0</v>
      </c>
      <c r="M131" s="445">
        <v>0</v>
      </c>
    </row>
    <row r="132" spans="1:13" x14ac:dyDescent="0.3">
      <c r="A132" s="124" t="s">
        <v>369</v>
      </c>
      <c r="B132" s="146" t="s">
        <v>429</v>
      </c>
      <c r="C132" s="124" t="s">
        <v>1052</v>
      </c>
      <c r="D132" s="146" t="s">
        <v>1054</v>
      </c>
      <c r="E132" s="150">
        <v>18.100000000000001</v>
      </c>
      <c r="F132" s="150">
        <v>22.4</v>
      </c>
      <c r="G132" s="150">
        <v>34</v>
      </c>
      <c r="H132" s="150">
        <v>34</v>
      </c>
      <c r="I132" s="150">
        <v>15.87301587</v>
      </c>
      <c r="J132" s="150">
        <v>56.420634919999998</v>
      </c>
      <c r="K132" s="445">
        <v>-66</v>
      </c>
      <c r="L132" s="445">
        <v>-84.126984129999997</v>
      </c>
      <c r="M132" s="445">
        <v>-43.579365080000002</v>
      </c>
    </row>
    <row r="133" spans="1:13" x14ac:dyDescent="0.3">
      <c r="A133" s="124" t="s">
        <v>369</v>
      </c>
      <c r="B133" s="124" t="s">
        <v>429</v>
      </c>
      <c r="C133" s="124" t="s">
        <v>1056</v>
      </c>
      <c r="D133" s="124" t="s">
        <v>1054</v>
      </c>
      <c r="E133" s="150">
        <v>12.3</v>
      </c>
      <c r="F133" s="150">
        <v>16.8</v>
      </c>
      <c r="G133" s="150">
        <v>73.099999999999994</v>
      </c>
      <c r="H133" s="150">
        <v>73.099999999999994</v>
      </c>
      <c r="I133" s="150">
        <v>60.834920629999999</v>
      </c>
      <c r="J133" s="150">
        <v>89.882539679999994</v>
      </c>
      <c r="K133" s="445">
        <v>-26.9</v>
      </c>
      <c r="L133" s="445">
        <v>-39.165079370000001</v>
      </c>
      <c r="M133" s="445">
        <v>-10.117460319999999</v>
      </c>
    </row>
    <row r="134" spans="1:13" x14ac:dyDescent="0.3">
      <c r="A134" s="124" t="s">
        <v>369</v>
      </c>
      <c r="B134" s="124" t="s">
        <v>429</v>
      </c>
      <c r="C134" s="124" t="s">
        <v>1057</v>
      </c>
      <c r="D134" s="124" t="s">
        <v>1054</v>
      </c>
      <c r="E134" s="150">
        <v>13.8</v>
      </c>
      <c r="F134" s="150">
        <v>9</v>
      </c>
      <c r="G134" s="150">
        <v>98.6</v>
      </c>
      <c r="H134" s="150">
        <v>98.6</v>
      </c>
      <c r="I134" s="150">
        <v>84.767251459999997</v>
      </c>
      <c r="J134" s="150">
        <v>107.619883</v>
      </c>
      <c r="K134" s="445">
        <v>-1.4</v>
      </c>
      <c r="L134" s="445">
        <v>-15.232748539999999</v>
      </c>
      <c r="M134" s="445">
        <v>7.6198830409999996</v>
      </c>
    </row>
    <row r="135" spans="1:13" x14ac:dyDescent="0.3">
      <c r="A135" s="124" t="s">
        <v>369</v>
      </c>
      <c r="B135" s="124" t="s">
        <v>429</v>
      </c>
      <c r="C135" s="124" t="s">
        <v>1052</v>
      </c>
      <c r="D135" s="124" t="s">
        <v>1055</v>
      </c>
      <c r="E135" s="150">
        <v>26.9</v>
      </c>
      <c r="F135" s="150">
        <v>22.5</v>
      </c>
      <c r="G135" s="150">
        <v>63.8</v>
      </c>
      <c r="H135" s="150">
        <v>63.8</v>
      </c>
      <c r="I135" s="150">
        <v>36.890476190000001</v>
      </c>
      <c r="J135" s="150">
        <v>86.277777779999994</v>
      </c>
      <c r="K135" s="445">
        <v>-36.200000000000003</v>
      </c>
      <c r="L135" s="445">
        <v>-63.109523809999999</v>
      </c>
      <c r="M135" s="445">
        <v>-13.722222220000001</v>
      </c>
    </row>
    <row r="136" spans="1:13" x14ac:dyDescent="0.3">
      <c r="A136" s="124" t="s">
        <v>369</v>
      </c>
      <c r="B136" s="146" t="s">
        <v>429</v>
      </c>
      <c r="C136" s="146" t="s">
        <v>1056</v>
      </c>
      <c r="D136" s="146" t="s">
        <v>1055</v>
      </c>
      <c r="E136" s="148">
        <v>22.4</v>
      </c>
      <c r="F136" s="148">
        <v>14.1</v>
      </c>
      <c r="G136" s="148">
        <v>90.9</v>
      </c>
      <c r="H136" s="148">
        <v>90.9</v>
      </c>
      <c r="I136" s="148">
        <v>68.453968250000003</v>
      </c>
      <c r="J136" s="148">
        <v>105.031746</v>
      </c>
      <c r="K136" s="445">
        <v>-9.1</v>
      </c>
      <c r="L136" s="445">
        <v>-31.546031750000001</v>
      </c>
      <c r="M136" s="445">
        <v>5.031746032</v>
      </c>
    </row>
    <row r="137" spans="1:13" x14ac:dyDescent="0.3">
      <c r="A137" s="124" t="s">
        <v>369</v>
      </c>
      <c r="B137" s="146" t="s">
        <v>429</v>
      </c>
      <c r="C137" s="146" t="s">
        <v>1057</v>
      </c>
      <c r="D137" s="124" t="s">
        <v>1055</v>
      </c>
      <c r="E137" s="148">
        <v>15.1</v>
      </c>
      <c r="F137" s="150">
        <v>19.8</v>
      </c>
      <c r="G137" s="150">
        <v>96.1</v>
      </c>
      <c r="H137" s="150">
        <v>96.1</v>
      </c>
      <c r="I137" s="150">
        <v>80.956164920000006</v>
      </c>
      <c r="J137" s="150">
        <v>115.9362721</v>
      </c>
      <c r="K137" s="445">
        <v>-3.9</v>
      </c>
      <c r="L137" s="445">
        <v>-19.043835080000001</v>
      </c>
      <c r="M137" s="445">
        <v>15.936272049999999</v>
      </c>
    </row>
    <row r="138" spans="1:13" x14ac:dyDescent="0.3">
      <c r="A138" s="124" t="s">
        <v>369</v>
      </c>
      <c r="B138" s="124" t="s">
        <v>540</v>
      </c>
      <c r="C138" s="124" t="s">
        <v>1052</v>
      </c>
      <c r="D138" s="124" t="s">
        <v>1053</v>
      </c>
      <c r="E138" s="150">
        <v>9.8000000000000007</v>
      </c>
      <c r="F138" s="150">
        <v>15</v>
      </c>
      <c r="G138" s="150">
        <v>38.9</v>
      </c>
      <c r="H138" s="150">
        <v>38.9</v>
      </c>
      <c r="I138" s="150">
        <v>29.092063490000001</v>
      </c>
      <c r="J138" s="150">
        <v>53.885714290000003</v>
      </c>
      <c r="K138" s="445">
        <v>-61.1</v>
      </c>
      <c r="L138" s="445">
        <v>-70.907936509999999</v>
      </c>
      <c r="M138" s="445">
        <v>-46.114285709999997</v>
      </c>
    </row>
    <row r="139" spans="1:13" x14ac:dyDescent="0.3">
      <c r="A139" s="124" t="s">
        <v>369</v>
      </c>
      <c r="B139" s="124" t="s">
        <v>540</v>
      </c>
      <c r="C139" s="124" t="s">
        <v>1056</v>
      </c>
      <c r="D139" s="124" t="s">
        <v>1053</v>
      </c>
      <c r="E139" s="150">
        <v>12.3</v>
      </c>
      <c r="F139" s="150">
        <v>17</v>
      </c>
      <c r="G139" s="150">
        <v>80.8</v>
      </c>
      <c r="H139" s="150">
        <v>80.8</v>
      </c>
      <c r="I139" s="150">
        <v>68.538444150000004</v>
      </c>
      <c r="J139" s="150">
        <v>97.808934100000002</v>
      </c>
      <c r="K139" s="445">
        <v>-19.2</v>
      </c>
      <c r="L139" s="445">
        <v>-31.46155585</v>
      </c>
      <c r="M139" s="445">
        <v>-2.1910658999999999</v>
      </c>
    </row>
    <row r="140" spans="1:13" x14ac:dyDescent="0.3">
      <c r="A140" s="124" t="s">
        <v>369</v>
      </c>
      <c r="B140" s="124" t="s">
        <v>540</v>
      </c>
      <c r="C140" s="124" t="s">
        <v>1057</v>
      </c>
      <c r="D140" s="124" t="s">
        <v>1053</v>
      </c>
      <c r="E140" s="150">
        <v>0</v>
      </c>
      <c r="F140" s="150">
        <v>0</v>
      </c>
      <c r="G140" s="150">
        <v>100</v>
      </c>
      <c r="H140" s="150">
        <v>100</v>
      </c>
      <c r="I140" s="150">
        <v>100</v>
      </c>
      <c r="J140" s="150">
        <v>100</v>
      </c>
      <c r="K140" s="445">
        <v>0</v>
      </c>
      <c r="L140" s="445">
        <v>0</v>
      </c>
      <c r="M140" s="445">
        <v>0</v>
      </c>
    </row>
    <row r="141" spans="1:13" x14ac:dyDescent="0.3">
      <c r="A141" s="124" t="s">
        <v>369</v>
      </c>
      <c r="B141" s="146" t="s">
        <v>540</v>
      </c>
      <c r="C141" s="124" t="s">
        <v>1052</v>
      </c>
      <c r="D141" s="146" t="s">
        <v>1054</v>
      </c>
      <c r="E141" s="150">
        <v>18.100000000000001</v>
      </c>
      <c r="F141" s="150">
        <v>22.4</v>
      </c>
      <c r="G141" s="150">
        <v>34</v>
      </c>
      <c r="H141" s="150">
        <v>34</v>
      </c>
      <c r="I141" s="150">
        <v>15.87301587</v>
      </c>
      <c r="J141" s="150">
        <v>56.420634919999998</v>
      </c>
      <c r="K141" s="445">
        <v>-66</v>
      </c>
      <c r="L141" s="445">
        <v>-84.126984129999997</v>
      </c>
      <c r="M141" s="445">
        <v>-43.579365080000002</v>
      </c>
    </row>
    <row r="142" spans="1:13" x14ac:dyDescent="0.3">
      <c r="A142" s="124" t="s">
        <v>369</v>
      </c>
      <c r="B142" s="124" t="s">
        <v>540</v>
      </c>
      <c r="C142" s="124" t="s">
        <v>1056</v>
      </c>
      <c r="D142" s="124" t="s">
        <v>1054</v>
      </c>
      <c r="E142" s="150">
        <v>12.3</v>
      </c>
      <c r="F142" s="150">
        <v>16.8</v>
      </c>
      <c r="G142" s="150">
        <v>73.099999999999994</v>
      </c>
      <c r="H142" s="150">
        <v>73.099999999999994</v>
      </c>
      <c r="I142" s="150">
        <v>60.834920629999999</v>
      </c>
      <c r="J142" s="150">
        <v>89.882539679999994</v>
      </c>
      <c r="K142" s="445">
        <v>-26.9</v>
      </c>
      <c r="L142" s="445">
        <v>-39.165079370000001</v>
      </c>
      <c r="M142" s="445">
        <v>-10.117460319999999</v>
      </c>
    </row>
    <row r="143" spans="1:13" x14ac:dyDescent="0.3">
      <c r="A143" s="124" t="s">
        <v>369</v>
      </c>
      <c r="B143" s="124" t="s">
        <v>540</v>
      </c>
      <c r="C143" s="124" t="s">
        <v>1057</v>
      </c>
      <c r="D143" s="124" t="s">
        <v>1054</v>
      </c>
      <c r="E143" s="150">
        <v>13.8</v>
      </c>
      <c r="F143" s="150">
        <v>9</v>
      </c>
      <c r="G143" s="150">
        <v>98.6</v>
      </c>
      <c r="H143" s="150">
        <v>98.6</v>
      </c>
      <c r="I143" s="150">
        <v>84.767251459999997</v>
      </c>
      <c r="J143" s="150">
        <v>107.619883</v>
      </c>
      <c r="K143" s="445">
        <v>-1.4</v>
      </c>
      <c r="L143" s="445">
        <v>-15.232748539999999</v>
      </c>
      <c r="M143" s="445">
        <v>7.6198830409999996</v>
      </c>
    </row>
    <row r="144" spans="1:13" x14ac:dyDescent="0.3">
      <c r="A144" s="124" t="s">
        <v>369</v>
      </c>
      <c r="B144" s="124" t="s">
        <v>540</v>
      </c>
      <c r="C144" s="124" t="s">
        <v>1052</v>
      </c>
      <c r="D144" s="124" t="s">
        <v>1055</v>
      </c>
      <c r="E144" s="150">
        <v>26.9</v>
      </c>
      <c r="F144" s="150">
        <v>22.5</v>
      </c>
      <c r="G144" s="150">
        <v>63.8</v>
      </c>
      <c r="H144" s="150">
        <v>63.8</v>
      </c>
      <c r="I144" s="150">
        <v>36.890476190000001</v>
      </c>
      <c r="J144" s="150">
        <v>86.277777779999994</v>
      </c>
      <c r="K144" s="445">
        <v>-36.200000000000003</v>
      </c>
      <c r="L144" s="445">
        <v>-63.109523809999999</v>
      </c>
      <c r="M144" s="445">
        <v>-13.722222220000001</v>
      </c>
    </row>
    <row r="145" spans="1:13" x14ac:dyDescent="0.3">
      <c r="A145" s="124" t="s">
        <v>369</v>
      </c>
      <c r="B145" s="146" t="s">
        <v>540</v>
      </c>
      <c r="C145" s="146" t="s">
        <v>1056</v>
      </c>
      <c r="D145" s="146" t="s">
        <v>1055</v>
      </c>
      <c r="E145" s="148">
        <v>22.4</v>
      </c>
      <c r="F145" s="148">
        <v>14.1</v>
      </c>
      <c r="G145" s="148">
        <v>90.9</v>
      </c>
      <c r="H145" s="148">
        <v>90.9</v>
      </c>
      <c r="I145" s="148">
        <v>68.453968250000003</v>
      </c>
      <c r="J145" s="148">
        <v>105.031746</v>
      </c>
      <c r="K145" s="445">
        <v>-9.1</v>
      </c>
      <c r="L145" s="445">
        <v>-31.546031750000001</v>
      </c>
      <c r="M145" s="445">
        <v>5.031746032</v>
      </c>
    </row>
    <row r="146" spans="1:13" x14ac:dyDescent="0.3">
      <c r="A146" s="124" t="s">
        <v>369</v>
      </c>
      <c r="B146" s="146" t="s">
        <v>540</v>
      </c>
      <c r="C146" s="146" t="s">
        <v>1057</v>
      </c>
      <c r="D146" s="124" t="s">
        <v>1055</v>
      </c>
      <c r="E146" s="148">
        <v>15.1</v>
      </c>
      <c r="F146" s="150">
        <v>19.8</v>
      </c>
      <c r="G146" s="150">
        <v>96.1</v>
      </c>
      <c r="H146" s="150">
        <v>96.1</v>
      </c>
      <c r="I146" s="150">
        <v>80.956164920000006</v>
      </c>
      <c r="J146" s="150">
        <v>115.9362721</v>
      </c>
      <c r="K146" s="445">
        <v>-3.9</v>
      </c>
      <c r="L146" s="445">
        <v>-19.043835080000001</v>
      </c>
      <c r="M146" s="445">
        <v>15.936272049999999</v>
      </c>
    </row>
    <row r="147" spans="1:13" x14ac:dyDescent="0.3">
      <c r="A147" s="124" t="s">
        <v>369</v>
      </c>
      <c r="B147" s="124" t="s">
        <v>427</v>
      </c>
      <c r="C147" s="124" t="s">
        <v>1052</v>
      </c>
      <c r="D147" s="124" t="s">
        <v>1053</v>
      </c>
      <c r="E147" s="150">
        <v>9.8000000000000007</v>
      </c>
      <c r="F147" s="150">
        <v>15</v>
      </c>
      <c r="G147" s="150">
        <v>38.9</v>
      </c>
      <c r="H147" s="150">
        <v>38.9</v>
      </c>
      <c r="I147" s="150">
        <v>29.092063490000001</v>
      </c>
      <c r="J147" s="150">
        <v>53.885714290000003</v>
      </c>
      <c r="K147" s="445">
        <v>-61.1</v>
      </c>
      <c r="L147" s="445">
        <v>-70.907936509999999</v>
      </c>
      <c r="M147" s="445">
        <v>-46.114285709999997</v>
      </c>
    </row>
    <row r="148" spans="1:13" x14ac:dyDescent="0.3">
      <c r="A148" s="124" t="s">
        <v>369</v>
      </c>
      <c r="B148" s="124" t="s">
        <v>427</v>
      </c>
      <c r="C148" s="124" t="s">
        <v>1056</v>
      </c>
      <c r="D148" s="124" t="s">
        <v>1053</v>
      </c>
      <c r="E148" s="150">
        <v>12.3</v>
      </c>
      <c r="F148" s="150">
        <v>17</v>
      </c>
      <c r="G148" s="150">
        <v>80.8</v>
      </c>
      <c r="H148" s="150">
        <v>80.8</v>
      </c>
      <c r="I148" s="150">
        <v>68.538444150000004</v>
      </c>
      <c r="J148" s="150">
        <v>97.808934100000002</v>
      </c>
      <c r="K148" s="445">
        <v>-19.2</v>
      </c>
      <c r="L148" s="445">
        <v>-31.46155585</v>
      </c>
      <c r="M148" s="445">
        <v>-2.1910658999999999</v>
      </c>
    </row>
    <row r="149" spans="1:13" x14ac:dyDescent="0.3">
      <c r="A149" s="124" t="s">
        <v>369</v>
      </c>
      <c r="B149" s="124" t="s">
        <v>427</v>
      </c>
      <c r="C149" s="124" t="s">
        <v>1057</v>
      </c>
      <c r="D149" s="124" t="s">
        <v>1053</v>
      </c>
      <c r="E149" s="150">
        <v>0</v>
      </c>
      <c r="F149" s="150">
        <v>0</v>
      </c>
      <c r="G149" s="150">
        <v>100</v>
      </c>
      <c r="H149" s="150">
        <v>100</v>
      </c>
      <c r="I149" s="150">
        <v>100</v>
      </c>
      <c r="J149" s="150">
        <v>100</v>
      </c>
      <c r="K149" s="445">
        <v>0</v>
      </c>
      <c r="L149" s="445">
        <v>0</v>
      </c>
      <c r="M149" s="445">
        <v>0</v>
      </c>
    </row>
    <row r="150" spans="1:13" x14ac:dyDescent="0.3">
      <c r="A150" s="124" t="s">
        <v>369</v>
      </c>
      <c r="B150" s="146" t="s">
        <v>427</v>
      </c>
      <c r="C150" s="124" t="s">
        <v>1052</v>
      </c>
      <c r="D150" s="146" t="s">
        <v>1054</v>
      </c>
      <c r="E150" s="150">
        <v>18.100000000000001</v>
      </c>
      <c r="F150" s="150">
        <v>22.4</v>
      </c>
      <c r="G150" s="150">
        <v>34</v>
      </c>
      <c r="H150" s="150">
        <v>34</v>
      </c>
      <c r="I150" s="150">
        <v>15.87301587</v>
      </c>
      <c r="J150" s="150">
        <v>56.420634919999998</v>
      </c>
      <c r="K150" s="445">
        <v>-66</v>
      </c>
      <c r="L150" s="445">
        <v>-84.126984129999997</v>
      </c>
      <c r="M150" s="445">
        <v>-43.579365080000002</v>
      </c>
    </row>
    <row r="151" spans="1:13" x14ac:dyDescent="0.3">
      <c r="A151" s="124" t="s">
        <v>369</v>
      </c>
      <c r="B151" s="124" t="s">
        <v>427</v>
      </c>
      <c r="C151" s="124" t="s">
        <v>1056</v>
      </c>
      <c r="D151" s="124" t="s">
        <v>1054</v>
      </c>
      <c r="E151" s="150">
        <v>12.3</v>
      </c>
      <c r="F151" s="150">
        <v>16.8</v>
      </c>
      <c r="G151" s="150">
        <v>73.099999999999994</v>
      </c>
      <c r="H151" s="150">
        <v>73.099999999999994</v>
      </c>
      <c r="I151" s="150">
        <v>60.834920629999999</v>
      </c>
      <c r="J151" s="150">
        <v>89.882539679999994</v>
      </c>
      <c r="K151" s="445">
        <v>-26.9</v>
      </c>
      <c r="L151" s="445">
        <v>-39.165079370000001</v>
      </c>
      <c r="M151" s="445">
        <v>-10.117460319999999</v>
      </c>
    </row>
    <row r="152" spans="1:13" x14ac:dyDescent="0.3">
      <c r="A152" s="124" t="s">
        <v>369</v>
      </c>
      <c r="B152" s="124" t="s">
        <v>427</v>
      </c>
      <c r="C152" s="124" t="s">
        <v>1057</v>
      </c>
      <c r="D152" s="124" t="s">
        <v>1054</v>
      </c>
      <c r="E152" s="150">
        <v>13.8</v>
      </c>
      <c r="F152" s="150">
        <v>9</v>
      </c>
      <c r="G152" s="150">
        <v>98.6</v>
      </c>
      <c r="H152" s="150">
        <v>98.6</v>
      </c>
      <c r="I152" s="150">
        <v>84.767251459999997</v>
      </c>
      <c r="J152" s="150">
        <v>107.619883</v>
      </c>
      <c r="K152" s="445">
        <v>-1.4</v>
      </c>
      <c r="L152" s="445">
        <v>-15.232748539999999</v>
      </c>
      <c r="M152" s="445">
        <v>7.6198830409999996</v>
      </c>
    </row>
    <row r="153" spans="1:13" x14ac:dyDescent="0.3">
      <c r="A153" s="124" t="s">
        <v>369</v>
      </c>
      <c r="B153" s="124" t="s">
        <v>427</v>
      </c>
      <c r="C153" s="124" t="s">
        <v>1052</v>
      </c>
      <c r="D153" s="124" t="s">
        <v>1055</v>
      </c>
      <c r="E153" s="150">
        <v>26.9</v>
      </c>
      <c r="F153" s="150">
        <v>22.5</v>
      </c>
      <c r="G153" s="150">
        <v>63.8</v>
      </c>
      <c r="H153" s="150">
        <v>63.8</v>
      </c>
      <c r="I153" s="150">
        <v>36.890476190000001</v>
      </c>
      <c r="J153" s="150">
        <v>86.277777779999994</v>
      </c>
      <c r="K153" s="445">
        <v>-36.200000000000003</v>
      </c>
      <c r="L153" s="445">
        <v>-63.109523809999999</v>
      </c>
      <c r="M153" s="445">
        <v>-13.722222220000001</v>
      </c>
    </row>
    <row r="154" spans="1:13" x14ac:dyDescent="0.3">
      <c r="A154" s="124" t="s">
        <v>369</v>
      </c>
      <c r="B154" s="146" t="s">
        <v>427</v>
      </c>
      <c r="C154" s="146" t="s">
        <v>1056</v>
      </c>
      <c r="D154" s="124" t="s">
        <v>1055</v>
      </c>
      <c r="E154" s="148">
        <v>22.4</v>
      </c>
      <c r="F154" s="150">
        <v>14.1</v>
      </c>
      <c r="G154" s="150">
        <v>90.9</v>
      </c>
      <c r="H154" s="150">
        <v>90.9</v>
      </c>
      <c r="I154" s="150">
        <v>68.453968250000003</v>
      </c>
      <c r="J154" s="150">
        <v>105.031746</v>
      </c>
      <c r="K154" s="445">
        <v>-9.1</v>
      </c>
      <c r="L154" s="445">
        <v>-31.546031750000001</v>
      </c>
      <c r="M154" s="445">
        <v>5.031746032</v>
      </c>
    </row>
    <row r="155" spans="1:13" x14ac:dyDescent="0.3">
      <c r="A155" s="124" t="s">
        <v>369</v>
      </c>
      <c r="B155" s="146" t="s">
        <v>427</v>
      </c>
      <c r="C155" s="146" t="s">
        <v>1057</v>
      </c>
      <c r="D155" s="124" t="s">
        <v>1055</v>
      </c>
      <c r="E155" s="148">
        <v>15.1</v>
      </c>
      <c r="F155" s="150">
        <v>19.8</v>
      </c>
      <c r="G155" s="150">
        <v>96.1</v>
      </c>
      <c r="H155" s="150">
        <v>96.1</v>
      </c>
      <c r="I155" s="150">
        <v>80.956164920000006</v>
      </c>
      <c r="J155" s="150">
        <v>115.9362721</v>
      </c>
      <c r="K155" s="445">
        <v>-3.9</v>
      </c>
      <c r="L155" s="445">
        <v>-19.043835080000001</v>
      </c>
      <c r="M155" s="445">
        <v>15.936272049999999</v>
      </c>
    </row>
    <row r="156" spans="1:13" x14ac:dyDescent="0.3">
      <c r="A156" s="124" t="s">
        <v>369</v>
      </c>
      <c r="B156" s="124" t="s">
        <v>381</v>
      </c>
      <c r="C156" s="124" t="s">
        <v>1052</v>
      </c>
      <c r="D156" s="124" t="s">
        <v>1053</v>
      </c>
      <c r="E156" s="150">
        <v>11.6</v>
      </c>
      <c r="F156" s="150">
        <v>11.6</v>
      </c>
      <c r="G156" s="150">
        <v>59.6</v>
      </c>
      <c r="H156" s="150">
        <v>59.6</v>
      </c>
      <c r="I156" s="150">
        <v>48.033333329999998</v>
      </c>
      <c r="J156" s="150">
        <v>71.233333329999994</v>
      </c>
      <c r="K156" s="445">
        <v>-40.4</v>
      </c>
      <c r="L156" s="445">
        <v>-51.966666670000002</v>
      </c>
      <c r="M156" s="445">
        <v>-28.766666669999999</v>
      </c>
    </row>
    <row r="157" spans="1:13" x14ac:dyDescent="0.3">
      <c r="A157" s="124" t="s">
        <v>369</v>
      </c>
      <c r="B157" s="124" t="s">
        <v>381</v>
      </c>
      <c r="C157" s="124" t="s">
        <v>1056</v>
      </c>
      <c r="D157" s="124" t="s">
        <v>1053</v>
      </c>
      <c r="E157" s="150">
        <v>14</v>
      </c>
      <c r="F157" s="150">
        <v>14.7</v>
      </c>
      <c r="G157" s="150">
        <v>86.3</v>
      </c>
      <c r="H157" s="150">
        <v>86.3</v>
      </c>
      <c r="I157" s="150">
        <v>72.289640770000005</v>
      </c>
      <c r="J157" s="150">
        <v>101.00208859999999</v>
      </c>
      <c r="K157" s="445">
        <v>-13.7</v>
      </c>
      <c r="L157" s="445">
        <v>-27.710359230000002</v>
      </c>
      <c r="M157" s="445">
        <v>1.002088555</v>
      </c>
    </row>
    <row r="158" spans="1:13" x14ac:dyDescent="0.3">
      <c r="A158" s="124" t="s">
        <v>369</v>
      </c>
      <c r="B158" s="124" t="s">
        <v>381</v>
      </c>
      <c r="C158" s="124" t="s">
        <v>1057</v>
      </c>
      <c r="D158" s="124" t="s">
        <v>1053</v>
      </c>
      <c r="E158" s="150">
        <v>0</v>
      </c>
      <c r="F158" s="150">
        <v>0</v>
      </c>
      <c r="G158" s="150">
        <v>100</v>
      </c>
      <c r="H158" s="150">
        <v>100</v>
      </c>
      <c r="I158" s="150">
        <v>100</v>
      </c>
      <c r="J158" s="150">
        <v>100</v>
      </c>
      <c r="K158" s="445">
        <v>0</v>
      </c>
      <c r="L158" s="445">
        <v>0</v>
      </c>
      <c r="M158" s="445">
        <v>0</v>
      </c>
    </row>
    <row r="159" spans="1:13" x14ac:dyDescent="0.3">
      <c r="A159" s="124" t="s">
        <v>369</v>
      </c>
      <c r="B159" s="146" t="s">
        <v>381</v>
      </c>
      <c r="C159" s="124" t="s">
        <v>1052</v>
      </c>
      <c r="D159" s="146" t="s">
        <v>1054</v>
      </c>
      <c r="E159" s="150">
        <v>18.3</v>
      </c>
      <c r="F159" s="150">
        <v>18.600000000000001</v>
      </c>
      <c r="G159" s="150">
        <v>40.799999999999997</v>
      </c>
      <c r="H159" s="150">
        <v>40.799999999999997</v>
      </c>
      <c r="I159" s="150">
        <v>22.45658263</v>
      </c>
      <c r="J159" s="150">
        <v>59.430252099999997</v>
      </c>
      <c r="K159" s="445">
        <v>-59.2</v>
      </c>
      <c r="L159" s="445">
        <v>-77.54341737</v>
      </c>
      <c r="M159" s="445">
        <v>-40.569747900000003</v>
      </c>
    </row>
    <row r="160" spans="1:13" x14ac:dyDescent="0.3">
      <c r="A160" s="124" t="s">
        <v>369</v>
      </c>
      <c r="B160" s="124" t="s">
        <v>381</v>
      </c>
      <c r="C160" s="124" t="s">
        <v>1056</v>
      </c>
      <c r="D160" s="124" t="s">
        <v>1054</v>
      </c>
      <c r="E160" s="150">
        <v>15.4</v>
      </c>
      <c r="F160" s="150">
        <v>14.5</v>
      </c>
      <c r="G160" s="150">
        <v>79.2</v>
      </c>
      <c r="H160" s="150">
        <v>79.2</v>
      </c>
      <c r="I160" s="150">
        <v>63.802830610000001</v>
      </c>
      <c r="J160" s="150">
        <v>93.707076509999993</v>
      </c>
      <c r="K160" s="445">
        <v>-20.8</v>
      </c>
      <c r="L160" s="445">
        <v>-36.197169389999999</v>
      </c>
      <c r="M160" s="445">
        <v>-6.2929234850000002</v>
      </c>
    </row>
    <row r="161" spans="1:13" x14ac:dyDescent="0.3">
      <c r="A161" s="124" t="s">
        <v>369</v>
      </c>
      <c r="B161" s="124" t="s">
        <v>381</v>
      </c>
      <c r="C161" s="124" t="s">
        <v>1057</v>
      </c>
      <c r="D161" s="124" t="s">
        <v>1054</v>
      </c>
      <c r="E161" s="150">
        <v>15.8</v>
      </c>
      <c r="F161" s="150">
        <v>9.4</v>
      </c>
      <c r="G161" s="150">
        <v>98.9</v>
      </c>
      <c r="H161" s="150">
        <v>98.9</v>
      </c>
      <c r="I161" s="150">
        <v>83.098422529999993</v>
      </c>
      <c r="J161" s="150">
        <v>108.3421003</v>
      </c>
      <c r="K161" s="445">
        <v>-1.1000000000000001</v>
      </c>
      <c r="L161" s="445">
        <v>-16.901577469999999</v>
      </c>
      <c r="M161" s="445">
        <v>8.3421003490000007</v>
      </c>
    </row>
    <row r="162" spans="1:13" x14ac:dyDescent="0.3">
      <c r="A162" s="124" t="s">
        <v>369</v>
      </c>
      <c r="B162" s="124" t="s">
        <v>381</v>
      </c>
      <c r="C162" s="124" t="s">
        <v>1052</v>
      </c>
      <c r="D162" s="124" t="s">
        <v>1055</v>
      </c>
      <c r="E162" s="150">
        <v>19.399999999999999</v>
      </c>
      <c r="F162" s="150">
        <v>23.8</v>
      </c>
      <c r="G162" s="150">
        <v>73.5</v>
      </c>
      <c r="H162" s="150">
        <v>73.5</v>
      </c>
      <c r="I162" s="150">
        <v>54.078754580000002</v>
      </c>
      <c r="J162" s="150">
        <v>97.329670329999999</v>
      </c>
      <c r="K162" s="445">
        <v>-26.5</v>
      </c>
      <c r="L162" s="445">
        <v>-45.921245419999998</v>
      </c>
      <c r="M162" s="445">
        <v>-2.6703296700000001</v>
      </c>
    </row>
    <row r="163" spans="1:13" x14ac:dyDescent="0.3">
      <c r="A163" s="124" t="s">
        <v>369</v>
      </c>
      <c r="B163" s="146" t="s">
        <v>381</v>
      </c>
      <c r="C163" s="146" t="s">
        <v>1056</v>
      </c>
      <c r="D163" s="124" t="s">
        <v>1055</v>
      </c>
      <c r="E163" s="148">
        <v>16.5</v>
      </c>
      <c r="F163" s="150">
        <v>19.600000000000001</v>
      </c>
      <c r="G163" s="150">
        <v>91.5</v>
      </c>
      <c r="H163" s="150">
        <v>91.5</v>
      </c>
      <c r="I163" s="150">
        <v>74.991228070000005</v>
      </c>
      <c r="J163" s="150">
        <v>111.1115288</v>
      </c>
      <c r="K163" s="445">
        <v>-8.5</v>
      </c>
      <c r="L163" s="445">
        <v>-25.008771930000002</v>
      </c>
      <c r="M163" s="445">
        <v>11.11152882</v>
      </c>
    </row>
    <row r="164" spans="1:13" x14ac:dyDescent="0.3">
      <c r="A164" s="124" t="s">
        <v>369</v>
      </c>
      <c r="B164" s="146" t="s">
        <v>381</v>
      </c>
      <c r="C164" s="146" t="s">
        <v>1057</v>
      </c>
      <c r="D164" s="146" t="s">
        <v>1055</v>
      </c>
      <c r="E164" s="148">
        <v>19.399999999999999</v>
      </c>
      <c r="F164" s="148">
        <v>14.5</v>
      </c>
      <c r="G164" s="148">
        <v>96.8</v>
      </c>
      <c r="H164" s="148">
        <v>96.8</v>
      </c>
      <c r="I164" s="148">
        <v>77.422644849999998</v>
      </c>
      <c r="J164" s="148">
        <v>111.2773552</v>
      </c>
      <c r="K164" s="445">
        <v>-3.2</v>
      </c>
      <c r="L164" s="445">
        <v>-22.577355149999999</v>
      </c>
      <c r="M164" s="445">
        <v>11.27735515</v>
      </c>
    </row>
    <row r="165" spans="1:13" x14ac:dyDescent="0.3">
      <c r="A165" s="124" t="s">
        <v>369</v>
      </c>
      <c r="B165" s="124" t="s">
        <v>538</v>
      </c>
      <c r="C165" s="124" t="s">
        <v>1052</v>
      </c>
      <c r="D165" s="124" t="s">
        <v>1053</v>
      </c>
      <c r="E165" s="150">
        <v>16.2</v>
      </c>
      <c r="F165" s="150">
        <v>10.9</v>
      </c>
      <c r="G165" s="150">
        <v>39.700000000000003</v>
      </c>
      <c r="H165" s="150">
        <v>39.700000000000003</v>
      </c>
      <c r="I165" s="150">
        <v>23.459678230000002</v>
      </c>
      <c r="J165" s="150">
        <v>50.565108090000003</v>
      </c>
      <c r="K165" s="445">
        <v>-60.3</v>
      </c>
      <c r="L165" s="445">
        <v>-76.540321770000006</v>
      </c>
      <c r="M165" s="445">
        <v>-49.434891909999997</v>
      </c>
    </row>
    <row r="166" spans="1:13" x14ac:dyDescent="0.3">
      <c r="A166" s="124" t="s">
        <v>369</v>
      </c>
      <c r="B166" s="124" t="s">
        <v>538</v>
      </c>
      <c r="C166" s="124" t="s">
        <v>1056</v>
      </c>
      <c r="D166" s="124" t="s">
        <v>1053</v>
      </c>
      <c r="E166" s="150">
        <v>14.4</v>
      </c>
      <c r="F166" s="150">
        <v>14</v>
      </c>
      <c r="G166" s="150">
        <v>71.7</v>
      </c>
      <c r="H166" s="150">
        <v>71.7</v>
      </c>
      <c r="I166" s="150">
        <v>57.262745099999997</v>
      </c>
      <c r="J166" s="150">
        <v>85.737254899999996</v>
      </c>
      <c r="K166" s="445">
        <v>-28.3</v>
      </c>
      <c r="L166" s="445">
        <v>-42.737254900000003</v>
      </c>
      <c r="M166" s="445">
        <v>-14.2627451</v>
      </c>
    </row>
    <row r="167" spans="1:13" x14ac:dyDescent="0.3">
      <c r="A167" s="124" t="s">
        <v>369</v>
      </c>
      <c r="B167" s="124" t="s">
        <v>538</v>
      </c>
      <c r="C167" s="124" t="s">
        <v>1057</v>
      </c>
      <c r="D167" s="124" t="s">
        <v>1053</v>
      </c>
      <c r="E167" s="150">
        <v>0</v>
      </c>
      <c r="F167" s="150">
        <v>0</v>
      </c>
      <c r="G167" s="150">
        <v>100</v>
      </c>
      <c r="H167" s="150">
        <v>100</v>
      </c>
      <c r="I167" s="150">
        <v>100</v>
      </c>
      <c r="J167" s="150">
        <v>100</v>
      </c>
      <c r="K167" s="445">
        <v>0</v>
      </c>
      <c r="L167" s="445">
        <v>0</v>
      </c>
      <c r="M167" s="445">
        <v>0</v>
      </c>
    </row>
    <row r="168" spans="1:13" x14ac:dyDescent="0.3">
      <c r="A168" s="124" t="s">
        <v>369</v>
      </c>
      <c r="B168" s="146" t="s">
        <v>538</v>
      </c>
      <c r="C168" s="124" t="s">
        <v>1052</v>
      </c>
      <c r="D168" s="146" t="s">
        <v>1054</v>
      </c>
      <c r="E168" s="150">
        <v>16.600000000000001</v>
      </c>
      <c r="F168" s="150">
        <v>17.399999999999999</v>
      </c>
      <c r="G168" s="150">
        <v>31</v>
      </c>
      <c r="H168" s="150">
        <v>31</v>
      </c>
      <c r="I168" s="150">
        <v>14.363358399999999</v>
      </c>
      <c r="J168" s="150">
        <v>48.403007520000003</v>
      </c>
      <c r="K168" s="445">
        <v>-69</v>
      </c>
      <c r="L168" s="445">
        <v>-85.636641600000004</v>
      </c>
      <c r="M168" s="445">
        <v>-51.596992479999997</v>
      </c>
    </row>
    <row r="169" spans="1:13" x14ac:dyDescent="0.3">
      <c r="A169" s="124" t="s">
        <v>369</v>
      </c>
      <c r="B169" s="124" t="s">
        <v>538</v>
      </c>
      <c r="C169" s="124" t="s">
        <v>1056</v>
      </c>
      <c r="D169" s="124" t="s">
        <v>1054</v>
      </c>
      <c r="E169" s="150">
        <v>16.3</v>
      </c>
      <c r="F169" s="150">
        <v>16.100000000000001</v>
      </c>
      <c r="G169" s="150">
        <v>69.099999999999994</v>
      </c>
      <c r="H169" s="150">
        <v>69.099999999999994</v>
      </c>
      <c r="I169" s="150">
        <v>52.819883040000001</v>
      </c>
      <c r="J169" s="150">
        <v>85.216374270000003</v>
      </c>
      <c r="K169" s="445">
        <v>-30.9</v>
      </c>
      <c r="L169" s="445">
        <v>-47.180116959999999</v>
      </c>
      <c r="M169" s="445">
        <v>-14.783625730000001</v>
      </c>
    </row>
    <row r="170" spans="1:13" x14ac:dyDescent="0.3">
      <c r="A170" s="124" t="s">
        <v>369</v>
      </c>
      <c r="B170" s="124" t="s">
        <v>538</v>
      </c>
      <c r="C170" s="124" t="s">
        <v>1057</v>
      </c>
      <c r="D170" s="124" t="s">
        <v>1054</v>
      </c>
      <c r="E170" s="150">
        <v>15.1</v>
      </c>
      <c r="F170" s="150">
        <v>9.3000000000000007</v>
      </c>
      <c r="G170" s="150">
        <v>99</v>
      </c>
      <c r="H170" s="150">
        <v>99</v>
      </c>
      <c r="I170" s="150">
        <v>83.921637430000004</v>
      </c>
      <c r="J170" s="150">
        <v>108.3005848</v>
      </c>
      <c r="K170" s="445">
        <v>-1</v>
      </c>
      <c r="L170" s="445">
        <v>-16.078362569999999</v>
      </c>
      <c r="M170" s="445">
        <v>8.3005847950000007</v>
      </c>
    </row>
    <row r="171" spans="1:13" x14ac:dyDescent="0.3">
      <c r="A171" s="124" t="s">
        <v>369</v>
      </c>
      <c r="B171" s="124" t="s">
        <v>538</v>
      </c>
      <c r="C171" s="124" t="s">
        <v>1052</v>
      </c>
      <c r="D171" s="124" t="s">
        <v>1055</v>
      </c>
      <c r="E171" s="150">
        <v>31.2</v>
      </c>
      <c r="F171" s="150">
        <v>26.3</v>
      </c>
      <c r="G171" s="150">
        <v>64</v>
      </c>
      <c r="H171" s="150">
        <v>64</v>
      </c>
      <c r="I171" s="150">
        <v>32.770329670000002</v>
      </c>
      <c r="J171" s="150">
        <v>90.277289379999999</v>
      </c>
      <c r="K171" s="445">
        <v>-36</v>
      </c>
      <c r="L171" s="445">
        <v>-67.229670330000005</v>
      </c>
      <c r="M171" s="445">
        <v>-9.7227106229999993</v>
      </c>
    </row>
    <row r="172" spans="1:13" x14ac:dyDescent="0.3">
      <c r="A172" s="124" t="s">
        <v>369</v>
      </c>
      <c r="B172" s="146" t="s">
        <v>538</v>
      </c>
      <c r="C172" s="146" t="s">
        <v>1056</v>
      </c>
      <c r="D172" s="124" t="s">
        <v>1055</v>
      </c>
      <c r="E172" s="148">
        <v>27.2</v>
      </c>
      <c r="F172" s="150">
        <v>24</v>
      </c>
      <c r="G172" s="150">
        <v>86.3</v>
      </c>
      <c r="H172" s="150">
        <v>86.3</v>
      </c>
      <c r="I172" s="150">
        <v>59.107936510000002</v>
      </c>
      <c r="J172" s="150">
        <v>110.28730160000001</v>
      </c>
      <c r="K172" s="445">
        <v>-13.7</v>
      </c>
      <c r="L172" s="445">
        <v>-40.892063489999998</v>
      </c>
      <c r="M172" s="445">
        <v>10.28730159</v>
      </c>
    </row>
    <row r="173" spans="1:13" x14ac:dyDescent="0.3">
      <c r="A173" s="124" t="s">
        <v>369</v>
      </c>
      <c r="B173" s="146" t="s">
        <v>538</v>
      </c>
      <c r="C173" s="146" t="s">
        <v>1057</v>
      </c>
      <c r="D173" s="146" t="s">
        <v>1055</v>
      </c>
      <c r="E173" s="148">
        <v>20.3</v>
      </c>
      <c r="F173" s="148">
        <v>17.899999999999999</v>
      </c>
      <c r="G173" s="148">
        <v>98.1</v>
      </c>
      <c r="H173" s="148">
        <v>98.1</v>
      </c>
      <c r="I173" s="148">
        <v>77.841692469999998</v>
      </c>
      <c r="J173" s="148">
        <v>116.0249742</v>
      </c>
      <c r="K173" s="445">
        <v>-1.9</v>
      </c>
      <c r="L173" s="445">
        <v>-22.158307529999998</v>
      </c>
      <c r="M173" s="445">
        <v>16.024974199999999</v>
      </c>
    </row>
    <row r="174" spans="1:13" x14ac:dyDescent="0.3">
      <c r="A174" s="124" t="s">
        <v>369</v>
      </c>
      <c r="B174" s="124" t="s">
        <v>388</v>
      </c>
      <c r="C174" s="124" t="s">
        <v>1052</v>
      </c>
      <c r="D174" s="124" t="s">
        <v>1053</v>
      </c>
      <c r="E174" s="150">
        <v>2.7</v>
      </c>
      <c r="F174" s="150">
        <v>8.5</v>
      </c>
      <c r="G174" s="150">
        <v>28.6</v>
      </c>
      <c r="H174" s="150">
        <v>28.6</v>
      </c>
      <c r="I174" s="150">
        <v>25.885714289999999</v>
      </c>
      <c r="J174" s="150">
        <v>37.115873020000002</v>
      </c>
      <c r="K174" s="445">
        <v>-71.400000000000006</v>
      </c>
      <c r="L174" s="445">
        <v>-74.114285710000004</v>
      </c>
      <c r="M174" s="445">
        <v>-62.884126979999998</v>
      </c>
    </row>
    <row r="175" spans="1:13" x14ac:dyDescent="0.3">
      <c r="A175" s="124" t="s">
        <v>369</v>
      </c>
      <c r="B175" s="124" t="s">
        <v>388</v>
      </c>
      <c r="C175" s="124" t="s">
        <v>1056</v>
      </c>
      <c r="D175" s="124" t="s">
        <v>1053</v>
      </c>
      <c r="E175" s="150">
        <v>12.4</v>
      </c>
      <c r="F175" s="150">
        <v>14.8</v>
      </c>
      <c r="G175" s="150">
        <v>72.5</v>
      </c>
      <c r="H175" s="150">
        <v>72.5</v>
      </c>
      <c r="I175" s="150">
        <v>60.134920630000003</v>
      </c>
      <c r="J175" s="150">
        <v>87.279365080000005</v>
      </c>
      <c r="K175" s="445">
        <v>-27.5</v>
      </c>
      <c r="L175" s="445">
        <v>-39.865079369999997</v>
      </c>
      <c r="M175" s="445">
        <v>-12.72063492</v>
      </c>
    </row>
    <row r="176" spans="1:13" x14ac:dyDescent="0.3">
      <c r="A176" s="124" t="s">
        <v>369</v>
      </c>
      <c r="B176" s="124" t="s">
        <v>388</v>
      </c>
      <c r="C176" s="124" t="s">
        <v>1057</v>
      </c>
      <c r="D176" s="124" t="s">
        <v>1053</v>
      </c>
      <c r="E176" s="150">
        <v>0</v>
      </c>
      <c r="F176" s="150">
        <v>0</v>
      </c>
      <c r="G176" s="150">
        <v>100</v>
      </c>
      <c r="H176" s="150">
        <v>100</v>
      </c>
      <c r="I176" s="150">
        <v>100</v>
      </c>
      <c r="J176" s="150">
        <v>100</v>
      </c>
      <c r="K176" s="445">
        <v>0</v>
      </c>
      <c r="L176" s="445">
        <v>0</v>
      </c>
      <c r="M176" s="445">
        <v>0</v>
      </c>
    </row>
    <row r="177" spans="1:13" x14ac:dyDescent="0.3">
      <c r="A177" s="124" t="s">
        <v>369</v>
      </c>
      <c r="B177" s="146" t="s">
        <v>388</v>
      </c>
      <c r="C177" s="146" t="s">
        <v>1052</v>
      </c>
      <c r="D177" s="146" t="s">
        <v>1054</v>
      </c>
      <c r="E177" s="148">
        <v>8.8000000000000007</v>
      </c>
      <c r="F177" s="148">
        <v>21.9</v>
      </c>
      <c r="G177" s="148">
        <v>9.5</v>
      </c>
      <c r="H177" s="148">
        <v>9.5</v>
      </c>
      <c r="I177" s="148">
        <v>0.71428571399999996</v>
      </c>
      <c r="J177" s="148">
        <v>31.428571430000002</v>
      </c>
      <c r="K177" s="445">
        <v>-90.5</v>
      </c>
      <c r="L177" s="445">
        <v>-99.285714290000001</v>
      </c>
      <c r="M177" s="445">
        <v>-68.571428569999995</v>
      </c>
    </row>
    <row r="178" spans="1:13" x14ac:dyDescent="0.3">
      <c r="A178" s="124" t="s">
        <v>369</v>
      </c>
      <c r="B178" s="146" t="s">
        <v>388</v>
      </c>
      <c r="C178" s="146" t="s">
        <v>1056</v>
      </c>
      <c r="D178" s="146" t="s">
        <v>1054</v>
      </c>
      <c r="E178" s="148">
        <v>23.4</v>
      </c>
      <c r="F178" s="148">
        <v>19.5</v>
      </c>
      <c r="G178" s="148">
        <v>62.7</v>
      </c>
      <c r="H178" s="148">
        <v>62.7</v>
      </c>
      <c r="I178" s="148">
        <v>39.319682540000002</v>
      </c>
      <c r="J178" s="148">
        <v>82.153333329999995</v>
      </c>
      <c r="K178" s="445">
        <v>-37.299999999999997</v>
      </c>
      <c r="L178" s="445">
        <v>-60.680317459999998</v>
      </c>
      <c r="M178" s="445">
        <v>-17.846666670000001</v>
      </c>
    </row>
    <row r="179" spans="1:13" x14ac:dyDescent="0.3">
      <c r="A179" s="124" t="s">
        <v>369</v>
      </c>
      <c r="B179" s="124" t="s">
        <v>388</v>
      </c>
      <c r="C179" s="124" t="s">
        <v>1057</v>
      </c>
      <c r="D179" s="124" t="s">
        <v>1054</v>
      </c>
      <c r="E179" s="150">
        <v>23.8</v>
      </c>
      <c r="F179" s="150">
        <v>14.3</v>
      </c>
      <c r="G179" s="150">
        <v>101.7</v>
      </c>
      <c r="H179" s="150">
        <v>101.7</v>
      </c>
      <c r="I179" s="150">
        <v>77.877777780000002</v>
      </c>
      <c r="J179" s="150">
        <v>116.0222222</v>
      </c>
      <c r="K179" s="445">
        <v>1.7</v>
      </c>
      <c r="L179" s="445">
        <v>-22.122222220000001</v>
      </c>
      <c r="M179" s="445">
        <v>16.02222222</v>
      </c>
    </row>
    <row r="180" spans="1:13" x14ac:dyDescent="0.3">
      <c r="A180" s="124" t="s">
        <v>369</v>
      </c>
      <c r="B180" s="124" t="s">
        <v>388</v>
      </c>
      <c r="C180" s="124" t="s">
        <v>1052</v>
      </c>
      <c r="D180" s="124" t="s">
        <v>1055</v>
      </c>
      <c r="E180" s="150">
        <v>26.3</v>
      </c>
      <c r="F180" s="150">
        <v>37.6</v>
      </c>
      <c r="G180" s="150">
        <v>37</v>
      </c>
      <c r="H180" s="150">
        <v>37</v>
      </c>
      <c r="I180" s="150">
        <v>10.747252749999999</v>
      </c>
      <c r="J180" s="150">
        <v>74.61538462</v>
      </c>
      <c r="K180" s="445">
        <v>-63</v>
      </c>
      <c r="L180" s="445">
        <v>-89.252747249999999</v>
      </c>
      <c r="M180" s="445">
        <v>-25.38461538</v>
      </c>
    </row>
    <row r="181" spans="1:13" x14ac:dyDescent="0.3">
      <c r="A181" s="124" t="s">
        <v>369</v>
      </c>
      <c r="B181" s="124" t="s">
        <v>388</v>
      </c>
      <c r="C181" s="124" t="s">
        <v>1056</v>
      </c>
      <c r="D181" s="124" t="s">
        <v>1055</v>
      </c>
      <c r="E181" s="150">
        <v>36.1</v>
      </c>
      <c r="F181" s="150">
        <v>31.4</v>
      </c>
      <c r="G181" s="150">
        <v>80</v>
      </c>
      <c r="H181" s="150">
        <v>80</v>
      </c>
      <c r="I181" s="150">
        <v>43.922344320000001</v>
      </c>
      <c r="J181" s="150">
        <v>111.39194139999999</v>
      </c>
      <c r="K181" s="445">
        <v>-20</v>
      </c>
      <c r="L181" s="445">
        <v>-56.077655679999999</v>
      </c>
      <c r="M181" s="445">
        <v>11.39194139</v>
      </c>
    </row>
    <row r="182" spans="1:13" x14ac:dyDescent="0.3">
      <c r="A182" s="124" t="s">
        <v>369</v>
      </c>
      <c r="B182" s="146" t="s">
        <v>388</v>
      </c>
      <c r="C182" s="146" t="s">
        <v>1057</v>
      </c>
      <c r="D182" s="124" t="s">
        <v>1055</v>
      </c>
      <c r="E182" s="148">
        <v>41.1</v>
      </c>
      <c r="F182" s="150">
        <v>39.9</v>
      </c>
      <c r="G182" s="150">
        <v>102.8</v>
      </c>
      <c r="H182" s="150">
        <v>102.8</v>
      </c>
      <c r="I182" s="150">
        <v>61.706984130000002</v>
      </c>
      <c r="J182" s="150">
        <v>142.748254</v>
      </c>
      <c r="K182" s="445">
        <v>2.8</v>
      </c>
      <c r="L182" s="445">
        <v>-38.293015869999998</v>
      </c>
      <c r="M182" s="445">
        <v>42.74825397</v>
      </c>
    </row>
    <row r="183" spans="1:13" x14ac:dyDescent="0.3">
      <c r="A183" s="124" t="s">
        <v>369</v>
      </c>
      <c r="B183" s="124" t="s">
        <v>530</v>
      </c>
      <c r="C183" s="124" t="s">
        <v>1052</v>
      </c>
      <c r="D183" s="124" t="s">
        <v>1053</v>
      </c>
      <c r="E183" s="150">
        <v>4.0999999999999996</v>
      </c>
      <c r="F183" s="150">
        <v>8.6999999999999993</v>
      </c>
      <c r="G183" s="150">
        <v>38.5</v>
      </c>
      <c r="H183" s="150">
        <v>38.5</v>
      </c>
      <c r="I183" s="150">
        <v>34.366666670000001</v>
      </c>
      <c r="J183" s="150">
        <v>47.20952381</v>
      </c>
      <c r="K183" s="445">
        <v>-61.5</v>
      </c>
      <c r="L183" s="445">
        <v>-65.633333329999999</v>
      </c>
      <c r="M183" s="445">
        <v>-52.79047619</v>
      </c>
    </row>
    <row r="184" spans="1:13" x14ac:dyDescent="0.3">
      <c r="A184" s="124" t="s">
        <v>369</v>
      </c>
      <c r="B184" s="124" t="s">
        <v>530</v>
      </c>
      <c r="C184" s="124" t="s">
        <v>1056</v>
      </c>
      <c r="D184" s="124" t="s">
        <v>1053</v>
      </c>
      <c r="E184" s="150">
        <v>12.4</v>
      </c>
      <c r="F184" s="150">
        <v>13.9</v>
      </c>
      <c r="G184" s="150">
        <v>69.5</v>
      </c>
      <c r="H184" s="150">
        <v>69.5</v>
      </c>
      <c r="I184" s="150">
        <v>57.06031746</v>
      </c>
      <c r="J184" s="150">
        <v>83.430158730000002</v>
      </c>
      <c r="K184" s="445">
        <v>-30.5</v>
      </c>
      <c r="L184" s="445">
        <v>-42.93968254</v>
      </c>
      <c r="M184" s="445">
        <v>-16.569841270000001</v>
      </c>
    </row>
    <row r="185" spans="1:13" x14ac:dyDescent="0.3">
      <c r="A185" s="124" t="s">
        <v>369</v>
      </c>
      <c r="B185" s="124" t="s">
        <v>530</v>
      </c>
      <c r="C185" s="124" t="s">
        <v>1057</v>
      </c>
      <c r="D185" s="124" t="s">
        <v>1053</v>
      </c>
      <c r="E185" s="150">
        <v>0</v>
      </c>
      <c r="F185" s="150">
        <v>0</v>
      </c>
      <c r="G185" s="150">
        <v>100</v>
      </c>
      <c r="H185" s="150">
        <v>100</v>
      </c>
      <c r="I185" s="150">
        <v>100</v>
      </c>
      <c r="J185" s="150">
        <v>100</v>
      </c>
      <c r="K185" s="445">
        <v>0</v>
      </c>
      <c r="L185" s="445">
        <v>0</v>
      </c>
      <c r="M185" s="445">
        <v>0</v>
      </c>
    </row>
    <row r="186" spans="1:13" x14ac:dyDescent="0.3">
      <c r="A186" s="124" t="s">
        <v>369</v>
      </c>
      <c r="B186" s="146" t="s">
        <v>530</v>
      </c>
      <c r="C186" s="124" t="s">
        <v>1052</v>
      </c>
      <c r="D186" s="124" t="s">
        <v>1054</v>
      </c>
      <c r="E186" s="150">
        <v>9.1999999999999993</v>
      </c>
      <c r="F186" s="150">
        <v>21.3</v>
      </c>
      <c r="G186" s="150">
        <v>14.7</v>
      </c>
      <c r="H186" s="150">
        <v>14.7</v>
      </c>
      <c r="I186" s="150">
        <v>5.5219047620000001</v>
      </c>
      <c r="J186" s="150">
        <v>36.049523809999997</v>
      </c>
      <c r="K186" s="445">
        <v>-85.3</v>
      </c>
      <c r="L186" s="445">
        <v>-94.478095240000002</v>
      </c>
      <c r="M186" s="445">
        <v>-63.950476190000003</v>
      </c>
    </row>
    <row r="187" spans="1:13" x14ac:dyDescent="0.3">
      <c r="A187" s="124" t="s">
        <v>369</v>
      </c>
      <c r="B187" s="146" t="s">
        <v>530</v>
      </c>
      <c r="C187" s="146" t="s">
        <v>1056</v>
      </c>
      <c r="D187" s="146" t="s">
        <v>1054</v>
      </c>
      <c r="E187" s="148">
        <v>18.5</v>
      </c>
      <c r="F187" s="148">
        <v>19.5</v>
      </c>
      <c r="G187" s="148">
        <v>56.8</v>
      </c>
      <c r="H187" s="148">
        <v>56.8</v>
      </c>
      <c r="I187" s="148">
        <v>38.308571430000001</v>
      </c>
      <c r="J187" s="148">
        <v>76.28</v>
      </c>
      <c r="K187" s="445">
        <v>-43.2</v>
      </c>
      <c r="L187" s="445">
        <v>-61.691428569999999</v>
      </c>
      <c r="M187" s="445">
        <v>-23.72</v>
      </c>
    </row>
    <row r="188" spans="1:13" x14ac:dyDescent="0.3">
      <c r="A188" s="124" t="s">
        <v>369</v>
      </c>
      <c r="B188" s="124" t="s">
        <v>530</v>
      </c>
      <c r="C188" s="124" t="s">
        <v>1057</v>
      </c>
      <c r="D188" s="124" t="s">
        <v>1054</v>
      </c>
      <c r="E188" s="150">
        <v>16</v>
      </c>
      <c r="F188" s="150">
        <v>7.9</v>
      </c>
      <c r="G188" s="150">
        <v>96.6</v>
      </c>
      <c r="H188" s="150">
        <v>96.6</v>
      </c>
      <c r="I188" s="150">
        <v>80.56718266</v>
      </c>
      <c r="J188" s="150">
        <v>104.50667350000001</v>
      </c>
      <c r="K188" s="445">
        <v>-3.4</v>
      </c>
      <c r="L188" s="445">
        <v>-19.43281734</v>
      </c>
      <c r="M188" s="445">
        <v>4.5066735470000001</v>
      </c>
    </row>
    <row r="189" spans="1:13" x14ac:dyDescent="0.3">
      <c r="A189" s="124" t="s">
        <v>369</v>
      </c>
      <c r="B189" s="124" t="s">
        <v>530</v>
      </c>
      <c r="C189" s="124" t="s">
        <v>1052</v>
      </c>
      <c r="D189" s="124" t="s">
        <v>1055</v>
      </c>
      <c r="E189" s="150">
        <v>30</v>
      </c>
      <c r="F189" s="150">
        <v>29.6</v>
      </c>
      <c r="G189" s="150">
        <v>64.2</v>
      </c>
      <c r="H189" s="150">
        <v>64.2</v>
      </c>
      <c r="I189" s="150">
        <v>34.20131868</v>
      </c>
      <c r="J189" s="150">
        <v>93.767252749999997</v>
      </c>
      <c r="K189" s="445">
        <v>-35.799999999999997</v>
      </c>
      <c r="L189" s="445">
        <v>-65.79868132</v>
      </c>
      <c r="M189" s="445">
        <v>-6.2327472530000003</v>
      </c>
    </row>
    <row r="190" spans="1:13" x14ac:dyDescent="0.3">
      <c r="A190" s="124" t="s">
        <v>369</v>
      </c>
      <c r="B190" s="124" t="s">
        <v>530</v>
      </c>
      <c r="C190" s="124" t="s">
        <v>1056</v>
      </c>
      <c r="D190" s="124" t="s">
        <v>1055</v>
      </c>
      <c r="E190" s="150">
        <v>29.2</v>
      </c>
      <c r="F190" s="150">
        <v>21.1</v>
      </c>
      <c r="G190" s="150">
        <v>81.3</v>
      </c>
      <c r="H190" s="150">
        <v>81.3</v>
      </c>
      <c r="I190" s="150">
        <v>52.070476190000001</v>
      </c>
      <c r="J190" s="150">
        <v>102.41333330000001</v>
      </c>
      <c r="K190" s="445">
        <v>-18.7</v>
      </c>
      <c r="L190" s="445">
        <v>-47.929523809999999</v>
      </c>
      <c r="M190" s="445">
        <v>2.4133333330000002</v>
      </c>
    </row>
    <row r="191" spans="1:13" x14ac:dyDescent="0.3">
      <c r="A191" s="124" t="s">
        <v>369</v>
      </c>
      <c r="B191" s="146" t="s">
        <v>530</v>
      </c>
      <c r="C191" s="146" t="s">
        <v>1057</v>
      </c>
      <c r="D191" s="124" t="s">
        <v>1055</v>
      </c>
      <c r="E191" s="148">
        <v>25.8</v>
      </c>
      <c r="F191" s="150">
        <v>19.600000000000001</v>
      </c>
      <c r="G191" s="150">
        <v>87.8</v>
      </c>
      <c r="H191" s="150">
        <v>87.8</v>
      </c>
      <c r="I191" s="150">
        <v>61.959899749999998</v>
      </c>
      <c r="J191" s="150">
        <v>107.43057640000001</v>
      </c>
      <c r="K191" s="445">
        <v>-12.2</v>
      </c>
      <c r="L191" s="445">
        <v>-38.040100250000002</v>
      </c>
      <c r="M191" s="445">
        <v>7.4305764410000004</v>
      </c>
    </row>
    <row r="192" spans="1:13" x14ac:dyDescent="0.3">
      <c r="A192" s="124" t="s">
        <v>369</v>
      </c>
      <c r="B192" s="124" t="s">
        <v>493</v>
      </c>
      <c r="C192" s="124" t="s">
        <v>1052</v>
      </c>
      <c r="D192" s="124" t="s">
        <v>1053</v>
      </c>
      <c r="E192" s="150">
        <v>9.5</v>
      </c>
      <c r="F192" s="150">
        <v>11</v>
      </c>
      <c r="G192" s="150">
        <v>30.6</v>
      </c>
      <c r="H192" s="150">
        <v>30.6</v>
      </c>
      <c r="I192" s="150">
        <v>21.071428569999998</v>
      </c>
      <c r="J192" s="150">
        <v>41.571428570000002</v>
      </c>
      <c r="K192" s="445">
        <v>-69.400000000000006</v>
      </c>
      <c r="L192" s="445">
        <v>-78.928571430000005</v>
      </c>
      <c r="M192" s="445">
        <v>-58.428571429999998</v>
      </c>
    </row>
    <row r="193" spans="1:13" x14ac:dyDescent="0.3">
      <c r="A193" s="124" t="s">
        <v>369</v>
      </c>
      <c r="B193" s="124" t="s">
        <v>493</v>
      </c>
      <c r="C193" s="124" t="s">
        <v>1056</v>
      </c>
      <c r="D193" s="124" t="s">
        <v>1053</v>
      </c>
      <c r="E193" s="150">
        <v>18.2</v>
      </c>
      <c r="F193" s="150">
        <v>19.3</v>
      </c>
      <c r="G193" s="150">
        <v>68.5</v>
      </c>
      <c r="H193" s="150">
        <v>68.5</v>
      </c>
      <c r="I193" s="150">
        <v>50.331746029999998</v>
      </c>
      <c r="J193" s="150">
        <v>87.757142860000002</v>
      </c>
      <c r="K193" s="445">
        <v>-31.5</v>
      </c>
      <c r="L193" s="445">
        <v>-49.668253970000002</v>
      </c>
      <c r="M193" s="445">
        <v>-12.24285714</v>
      </c>
    </row>
    <row r="194" spans="1:13" x14ac:dyDescent="0.3">
      <c r="A194" s="124" t="s">
        <v>369</v>
      </c>
      <c r="B194" s="124" t="s">
        <v>493</v>
      </c>
      <c r="C194" s="124" t="s">
        <v>1057</v>
      </c>
      <c r="D194" s="124" t="s">
        <v>1053</v>
      </c>
      <c r="E194" s="150">
        <v>0</v>
      </c>
      <c r="F194" s="150">
        <v>0</v>
      </c>
      <c r="G194" s="150">
        <v>100</v>
      </c>
      <c r="H194" s="150">
        <v>100</v>
      </c>
      <c r="I194" s="150">
        <v>100</v>
      </c>
      <c r="J194" s="150">
        <v>100</v>
      </c>
      <c r="K194" s="445">
        <v>0</v>
      </c>
      <c r="L194" s="445">
        <v>0</v>
      </c>
      <c r="M194" s="445">
        <v>0</v>
      </c>
    </row>
    <row r="195" spans="1:13" x14ac:dyDescent="0.3">
      <c r="A195" s="124" t="s">
        <v>369</v>
      </c>
      <c r="B195" s="146" t="s">
        <v>493</v>
      </c>
      <c r="C195" s="124" t="s">
        <v>1052</v>
      </c>
      <c r="D195" s="124" t="s">
        <v>1054</v>
      </c>
      <c r="E195" s="150">
        <v>16.600000000000001</v>
      </c>
      <c r="F195" s="150">
        <v>20.100000000000001</v>
      </c>
      <c r="G195" s="150">
        <v>23.4</v>
      </c>
      <c r="H195" s="150">
        <v>23.4</v>
      </c>
      <c r="I195" s="150">
        <v>6.8238095239999996</v>
      </c>
      <c r="J195" s="150">
        <v>43.517460319999998</v>
      </c>
      <c r="K195" s="445">
        <v>-76.599999999999994</v>
      </c>
      <c r="L195" s="445">
        <v>-93.176190480000002</v>
      </c>
      <c r="M195" s="445">
        <v>-56.482539680000002</v>
      </c>
    </row>
    <row r="196" spans="1:13" x14ac:dyDescent="0.3">
      <c r="A196" s="124" t="s">
        <v>369</v>
      </c>
      <c r="B196" s="146" t="s">
        <v>493</v>
      </c>
      <c r="C196" s="146" t="s">
        <v>1056</v>
      </c>
      <c r="D196" s="146" t="s">
        <v>1054</v>
      </c>
      <c r="E196" s="148">
        <v>22.7</v>
      </c>
      <c r="F196" s="148">
        <v>21.1</v>
      </c>
      <c r="G196" s="148">
        <v>61</v>
      </c>
      <c r="H196" s="148">
        <v>61</v>
      </c>
      <c r="I196" s="148">
        <v>38.265079370000002</v>
      </c>
      <c r="J196" s="148">
        <v>82.120634920000001</v>
      </c>
      <c r="K196" s="445">
        <v>-39</v>
      </c>
      <c r="L196" s="445">
        <v>-61.734920629999998</v>
      </c>
      <c r="M196" s="445">
        <v>-17.879365079999999</v>
      </c>
    </row>
    <row r="197" spans="1:13" x14ac:dyDescent="0.3">
      <c r="A197" s="124" t="s">
        <v>369</v>
      </c>
      <c r="B197" s="124" t="s">
        <v>493</v>
      </c>
      <c r="C197" s="124" t="s">
        <v>1057</v>
      </c>
      <c r="D197" s="124" t="s">
        <v>1054</v>
      </c>
      <c r="E197" s="150">
        <v>18.600000000000001</v>
      </c>
      <c r="F197" s="150">
        <v>10.4</v>
      </c>
      <c r="G197" s="150">
        <v>99.7</v>
      </c>
      <c r="H197" s="150">
        <v>99.7</v>
      </c>
      <c r="I197" s="150">
        <v>81.130158730000005</v>
      </c>
      <c r="J197" s="150">
        <v>110.0507937</v>
      </c>
      <c r="K197" s="445">
        <v>-0.3</v>
      </c>
      <c r="L197" s="445">
        <v>-18.869841269999998</v>
      </c>
      <c r="M197" s="445">
        <v>10.050793649999999</v>
      </c>
    </row>
    <row r="198" spans="1:13" x14ac:dyDescent="0.3">
      <c r="A198" s="124" t="s">
        <v>369</v>
      </c>
      <c r="B198" s="124" t="s">
        <v>493</v>
      </c>
      <c r="C198" s="124" t="s">
        <v>1052</v>
      </c>
      <c r="D198" s="124" t="s">
        <v>1055</v>
      </c>
      <c r="E198" s="150">
        <v>25.3</v>
      </c>
      <c r="F198" s="150">
        <v>25.4</v>
      </c>
      <c r="G198" s="150">
        <v>42.9</v>
      </c>
      <c r="H198" s="150">
        <v>42.9</v>
      </c>
      <c r="I198" s="150">
        <v>17.600000000000001</v>
      </c>
      <c r="J198" s="150">
        <v>68.314285709999993</v>
      </c>
      <c r="K198" s="445">
        <v>-57.1</v>
      </c>
      <c r="L198" s="445">
        <v>-82.4</v>
      </c>
      <c r="M198" s="445">
        <v>-31.68571429</v>
      </c>
    </row>
    <row r="199" spans="1:13" x14ac:dyDescent="0.3">
      <c r="A199" s="124" t="s">
        <v>369</v>
      </c>
      <c r="B199" s="124" t="s">
        <v>493</v>
      </c>
      <c r="C199" s="124" t="s">
        <v>1056</v>
      </c>
      <c r="D199" s="124" t="s">
        <v>1055</v>
      </c>
      <c r="E199" s="150">
        <v>29.3</v>
      </c>
      <c r="F199" s="150">
        <v>19.399999999999999</v>
      </c>
      <c r="G199" s="150">
        <v>77.7</v>
      </c>
      <c r="H199" s="150">
        <v>77.7</v>
      </c>
      <c r="I199" s="150">
        <v>48.445421250000003</v>
      </c>
      <c r="J199" s="150">
        <v>97.054578750000005</v>
      </c>
      <c r="K199" s="445">
        <v>-22.3</v>
      </c>
      <c r="L199" s="445">
        <v>-51.554578749999997</v>
      </c>
      <c r="M199" s="445">
        <v>-2.9454212449999999</v>
      </c>
    </row>
    <row r="200" spans="1:13" x14ac:dyDescent="0.3">
      <c r="A200" s="124" t="s">
        <v>369</v>
      </c>
      <c r="B200" s="146" t="s">
        <v>493</v>
      </c>
      <c r="C200" s="146" t="s">
        <v>1057</v>
      </c>
      <c r="D200" s="124" t="s">
        <v>1055</v>
      </c>
      <c r="E200" s="148">
        <v>22.9</v>
      </c>
      <c r="F200" s="150">
        <v>24.2</v>
      </c>
      <c r="G200" s="150">
        <v>96.5</v>
      </c>
      <c r="H200" s="150">
        <v>96.5</v>
      </c>
      <c r="I200" s="150">
        <v>73.55238095</v>
      </c>
      <c r="J200" s="150">
        <v>120.6857143</v>
      </c>
      <c r="K200" s="445">
        <v>-3.5</v>
      </c>
      <c r="L200" s="445">
        <v>-26.44761905</v>
      </c>
      <c r="M200" s="445">
        <v>20.68571429</v>
      </c>
    </row>
    <row r="201" spans="1:13" x14ac:dyDescent="0.3">
      <c r="A201" s="124" t="s">
        <v>369</v>
      </c>
      <c r="B201" s="124" t="s">
        <v>536</v>
      </c>
      <c r="C201" s="124" t="s">
        <v>1052</v>
      </c>
      <c r="D201" s="124" t="s">
        <v>1053</v>
      </c>
      <c r="E201" s="150">
        <v>9.5</v>
      </c>
      <c r="F201" s="150">
        <v>9.6</v>
      </c>
      <c r="G201" s="150">
        <v>31.6</v>
      </c>
      <c r="H201" s="150">
        <v>31.6</v>
      </c>
      <c r="I201" s="150">
        <v>22.107936509999998</v>
      </c>
      <c r="J201" s="150">
        <v>41.247619049999997</v>
      </c>
      <c r="K201" s="445">
        <v>-68.400000000000006</v>
      </c>
      <c r="L201" s="445">
        <v>-77.892063489999998</v>
      </c>
      <c r="M201" s="445">
        <v>-58.752380950000003</v>
      </c>
    </row>
    <row r="202" spans="1:13" x14ac:dyDescent="0.3">
      <c r="A202" s="124" t="s">
        <v>369</v>
      </c>
      <c r="B202" s="124" t="s">
        <v>536</v>
      </c>
      <c r="C202" s="124" t="s">
        <v>1056</v>
      </c>
      <c r="D202" s="124" t="s">
        <v>1053</v>
      </c>
      <c r="E202" s="150">
        <v>14.6</v>
      </c>
      <c r="F202" s="150">
        <v>17</v>
      </c>
      <c r="G202" s="150">
        <v>76.599999999999994</v>
      </c>
      <c r="H202" s="150">
        <v>76.599999999999994</v>
      </c>
      <c r="I202" s="150">
        <v>62.023976609999998</v>
      </c>
      <c r="J202" s="150">
        <v>93.57017544</v>
      </c>
      <c r="K202" s="445">
        <v>-23.4</v>
      </c>
      <c r="L202" s="445">
        <v>-37.976023390000002</v>
      </c>
      <c r="M202" s="445">
        <v>-6.4298245610000002</v>
      </c>
    </row>
    <row r="203" spans="1:13" x14ac:dyDescent="0.3">
      <c r="A203" s="124" t="s">
        <v>369</v>
      </c>
      <c r="B203" s="124" t="s">
        <v>536</v>
      </c>
      <c r="C203" s="124" t="s">
        <v>1057</v>
      </c>
      <c r="D203" s="124" t="s">
        <v>1053</v>
      </c>
      <c r="E203" s="150">
        <v>0</v>
      </c>
      <c r="F203" s="150">
        <v>0</v>
      </c>
      <c r="G203" s="150">
        <v>100</v>
      </c>
      <c r="H203" s="150">
        <v>100</v>
      </c>
      <c r="I203" s="150">
        <v>100</v>
      </c>
      <c r="J203" s="150">
        <v>100</v>
      </c>
      <c r="K203" s="445">
        <v>0</v>
      </c>
      <c r="L203" s="445">
        <v>0</v>
      </c>
      <c r="M203" s="445">
        <v>0</v>
      </c>
    </row>
    <row r="204" spans="1:13" x14ac:dyDescent="0.3">
      <c r="A204" s="124" t="s">
        <v>369</v>
      </c>
      <c r="B204" s="146" t="s">
        <v>536</v>
      </c>
      <c r="C204" s="124" t="s">
        <v>1052</v>
      </c>
      <c r="D204" s="146" t="s">
        <v>1054</v>
      </c>
      <c r="E204" s="150">
        <v>9.8000000000000007</v>
      </c>
      <c r="F204" s="150">
        <v>19.5</v>
      </c>
      <c r="G204" s="150">
        <v>23.9</v>
      </c>
      <c r="H204" s="150">
        <v>23.9</v>
      </c>
      <c r="I204" s="150">
        <v>14.057142860000001</v>
      </c>
      <c r="J204" s="150">
        <v>43.436507939999998</v>
      </c>
      <c r="K204" s="445">
        <v>-76.099999999999994</v>
      </c>
      <c r="L204" s="445">
        <v>-85.942857140000001</v>
      </c>
      <c r="M204" s="445">
        <v>-56.563492060000002</v>
      </c>
    </row>
    <row r="205" spans="1:13" x14ac:dyDescent="0.3">
      <c r="A205" s="124" t="s">
        <v>369</v>
      </c>
      <c r="B205" s="124" t="s">
        <v>536</v>
      </c>
      <c r="C205" s="124" t="s">
        <v>1056</v>
      </c>
      <c r="D205" s="124" t="s">
        <v>1054</v>
      </c>
      <c r="E205" s="150">
        <v>19.8</v>
      </c>
      <c r="F205" s="150">
        <v>20.100000000000001</v>
      </c>
      <c r="G205" s="150">
        <v>69.099999999999994</v>
      </c>
      <c r="H205" s="150">
        <v>69.099999999999994</v>
      </c>
      <c r="I205" s="150">
        <v>49.32222222</v>
      </c>
      <c r="J205" s="150">
        <v>89.2</v>
      </c>
      <c r="K205" s="445">
        <v>-30.9</v>
      </c>
      <c r="L205" s="445">
        <v>-50.67777778</v>
      </c>
      <c r="M205" s="445">
        <v>-10.8</v>
      </c>
    </row>
    <row r="206" spans="1:13" x14ac:dyDescent="0.3">
      <c r="A206" s="124" t="s">
        <v>369</v>
      </c>
      <c r="B206" s="124" t="s">
        <v>536</v>
      </c>
      <c r="C206" s="124" t="s">
        <v>1057</v>
      </c>
      <c r="D206" s="124" t="s">
        <v>1054</v>
      </c>
      <c r="E206" s="150">
        <v>16.2</v>
      </c>
      <c r="F206" s="150">
        <v>9.1999999999999993</v>
      </c>
      <c r="G206" s="150">
        <v>96.7</v>
      </c>
      <c r="H206" s="150">
        <v>96.7</v>
      </c>
      <c r="I206" s="150">
        <v>80.484795320000003</v>
      </c>
      <c r="J206" s="150">
        <v>105.9467836</v>
      </c>
      <c r="K206" s="445">
        <v>-3.3</v>
      </c>
      <c r="L206" s="445">
        <v>-19.51520468</v>
      </c>
      <c r="M206" s="445">
        <v>5.9467836260000002</v>
      </c>
    </row>
    <row r="207" spans="1:13" x14ac:dyDescent="0.3">
      <c r="A207" s="124" t="s">
        <v>369</v>
      </c>
      <c r="B207" s="124" t="s">
        <v>536</v>
      </c>
      <c r="C207" s="124" t="s">
        <v>1052</v>
      </c>
      <c r="D207" s="124" t="s">
        <v>1055</v>
      </c>
      <c r="E207" s="150">
        <v>20</v>
      </c>
      <c r="F207" s="150">
        <v>19.7</v>
      </c>
      <c r="G207" s="150">
        <v>62.6</v>
      </c>
      <c r="H207" s="150">
        <v>62.6</v>
      </c>
      <c r="I207" s="150">
        <v>42.599439779999997</v>
      </c>
      <c r="J207" s="150">
        <v>82.276470590000002</v>
      </c>
      <c r="K207" s="445">
        <v>-37.4</v>
      </c>
      <c r="L207" s="445">
        <v>-57.400560220000003</v>
      </c>
      <c r="M207" s="445">
        <v>-17.723529410000001</v>
      </c>
    </row>
    <row r="208" spans="1:13" x14ac:dyDescent="0.3">
      <c r="A208" s="124" t="s">
        <v>369</v>
      </c>
      <c r="B208" s="146" t="s">
        <v>536</v>
      </c>
      <c r="C208" s="146" t="s">
        <v>1056</v>
      </c>
      <c r="D208" s="146" t="s">
        <v>1055</v>
      </c>
      <c r="E208" s="148">
        <v>21.2</v>
      </c>
      <c r="F208" s="148">
        <v>21.6</v>
      </c>
      <c r="G208" s="148">
        <v>87.3</v>
      </c>
      <c r="H208" s="148">
        <v>87.3</v>
      </c>
      <c r="I208" s="148">
        <v>66.111204479999998</v>
      </c>
      <c r="J208" s="148">
        <v>108.9333333</v>
      </c>
      <c r="K208" s="445">
        <v>-12.7</v>
      </c>
      <c r="L208" s="445">
        <v>-33.888795520000002</v>
      </c>
      <c r="M208" s="445">
        <v>8.9333333330000002</v>
      </c>
    </row>
    <row r="209" spans="1:13" x14ac:dyDescent="0.3">
      <c r="A209" s="124" t="s">
        <v>369</v>
      </c>
      <c r="B209" s="146" t="s">
        <v>536</v>
      </c>
      <c r="C209" s="146" t="s">
        <v>1057</v>
      </c>
      <c r="D209" s="146" t="s">
        <v>1055</v>
      </c>
      <c r="E209" s="148">
        <v>19.3</v>
      </c>
      <c r="F209" s="148">
        <v>17.899999999999999</v>
      </c>
      <c r="G209" s="148">
        <v>94</v>
      </c>
      <c r="H209" s="148">
        <v>94</v>
      </c>
      <c r="I209" s="148">
        <v>74.667182659999995</v>
      </c>
      <c r="J209" s="148">
        <v>111.86222909999999</v>
      </c>
      <c r="K209" s="445">
        <v>-6</v>
      </c>
      <c r="L209" s="445">
        <v>-25.332817339999998</v>
      </c>
      <c r="M209" s="445">
        <v>11.8622291</v>
      </c>
    </row>
    <row r="210" spans="1:13" x14ac:dyDescent="0.3">
      <c r="A210" s="124" t="s">
        <v>369</v>
      </c>
      <c r="B210" s="124" t="s">
        <v>542</v>
      </c>
      <c r="C210" s="124" t="s">
        <v>1052</v>
      </c>
      <c r="D210" s="124" t="s">
        <v>1053</v>
      </c>
      <c r="E210" s="150">
        <v>9.5</v>
      </c>
      <c r="F210" s="150">
        <v>9.6</v>
      </c>
      <c r="G210" s="150">
        <v>31.6</v>
      </c>
      <c r="H210" s="150">
        <v>31.6</v>
      </c>
      <c r="I210" s="150">
        <v>22.107936509999998</v>
      </c>
      <c r="J210" s="150">
        <v>41.247619049999997</v>
      </c>
      <c r="K210" s="445">
        <v>-68.400000000000006</v>
      </c>
      <c r="L210" s="445">
        <v>-77.892063489999998</v>
      </c>
      <c r="M210" s="445">
        <v>-58.752380950000003</v>
      </c>
    </row>
    <row r="211" spans="1:13" x14ac:dyDescent="0.3">
      <c r="A211" s="124" t="s">
        <v>369</v>
      </c>
      <c r="B211" s="124" t="s">
        <v>542</v>
      </c>
      <c r="C211" s="124" t="s">
        <v>1056</v>
      </c>
      <c r="D211" s="124" t="s">
        <v>1053</v>
      </c>
      <c r="E211" s="150">
        <v>14.6</v>
      </c>
      <c r="F211" s="150">
        <v>17</v>
      </c>
      <c r="G211" s="150">
        <v>76.599999999999994</v>
      </c>
      <c r="H211" s="150">
        <v>76.599999999999994</v>
      </c>
      <c r="I211" s="150">
        <v>62.023976609999998</v>
      </c>
      <c r="J211" s="150">
        <v>93.57017544</v>
      </c>
      <c r="K211" s="445">
        <v>-23.4</v>
      </c>
      <c r="L211" s="445">
        <v>-37.976023390000002</v>
      </c>
      <c r="M211" s="445">
        <v>-6.4298245610000002</v>
      </c>
    </row>
    <row r="212" spans="1:13" x14ac:dyDescent="0.3">
      <c r="A212" s="124" t="s">
        <v>369</v>
      </c>
      <c r="B212" s="124" t="s">
        <v>542</v>
      </c>
      <c r="C212" s="124" t="s">
        <v>1057</v>
      </c>
      <c r="D212" s="124" t="s">
        <v>1053</v>
      </c>
      <c r="E212" s="150">
        <v>0</v>
      </c>
      <c r="F212" s="150">
        <v>0</v>
      </c>
      <c r="G212" s="150">
        <v>100</v>
      </c>
      <c r="H212" s="150">
        <v>100</v>
      </c>
      <c r="I212" s="150">
        <v>100</v>
      </c>
      <c r="J212" s="150">
        <v>100</v>
      </c>
      <c r="K212" s="445">
        <v>0</v>
      </c>
      <c r="L212" s="445">
        <v>0</v>
      </c>
      <c r="M212" s="445">
        <v>0</v>
      </c>
    </row>
    <row r="213" spans="1:13" x14ac:dyDescent="0.3">
      <c r="A213" s="124" t="s">
        <v>369</v>
      </c>
      <c r="B213" s="146" t="s">
        <v>542</v>
      </c>
      <c r="C213" s="124" t="s">
        <v>1052</v>
      </c>
      <c r="D213" s="146" t="s">
        <v>1054</v>
      </c>
      <c r="E213" s="150">
        <v>9.8000000000000007</v>
      </c>
      <c r="F213" s="150">
        <v>19.5</v>
      </c>
      <c r="G213" s="150">
        <v>23.9</v>
      </c>
      <c r="H213" s="150">
        <v>23.9</v>
      </c>
      <c r="I213" s="150">
        <v>14.057142860000001</v>
      </c>
      <c r="J213" s="150">
        <v>43.436507939999998</v>
      </c>
      <c r="K213" s="445">
        <v>-76.099999999999994</v>
      </c>
      <c r="L213" s="445">
        <v>-85.942857140000001</v>
      </c>
      <c r="M213" s="445">
        <v>-56.563492060000002</v>
      </c>
    </row>
    <row r="214" spans="1:13" x14ac:dyDescent="0.3">
      <c r="A214" s="124" t="s">
        <v>369</v>
      </c>
      <c r="B214" s="124" t="s">
        <v>542</v>
      </c>
      <c r="C214" s="124" t="s">
        <v>1056</v>
      </c>
      <c r="D214" s="124" t="s">
        <v>1054</v>
      </c>
      <c r="E214" s="150">
        <v>19.8</v>
      </c>
      <c r="F214" s="150">
        <v>20.100000000000001</v>
      </c>
      <c r="G214" s="150">
        <v>69.099999999999994</v>
      </c>
      <c r="H214" s="150">
        <v>69.099999999999994</v>
      </c>
      <c r="I214" s="150">
        <v>49.32222222</v>
      </c>
      <c r="J214" s="150">
        <v>89.2</v>
      </c>
      <c r="K214" s="445">
        <v>-30.9</v>
      </c>
      <c r="L214" s="445">
        <v>-50.67777778</v>
      </c>
      <c r="M214" s="445">
        <v>-10.8</v>
      </c>
    </row>
    <row r="215" spans="1:13" x14ac:dyDescent="0.3">
      <c r="A215" s="124" t="s">
        <v>369</v>
      </c>
      <c r="B215" s="124" t="s">
        <v>542</v>
      </c>
      <c r="C215" s="124" t="s">
        <v>1057</v>
      </c>
      <c r="D215" s="124" t="s">
        <v>1054</v>
      </c>
      <c r="E215" s="150">
        <v>16.2</v>
      </c>
      <c r="F215" s="150">
        <v>9.1999999999999993</v>
      </c>
      <c r="G215" s="150">
        <v>96.7</v>
      </c>
      <c r="H215" s="150">
        <v>96.7</v>
      </c>
      <c r="I215" s="150">
        <v>80.484795320000003</v>
      </c>
      <c r="J215" s="150">
        <v>105.9467836</v>
      </c>
      <c r="K215" s="445">
        <v>-3.3</v>
      </c>
      <c r="L215" s="445">
        <v>-19.51520468</v>
      </c>
      <c r="M215" s="445">
        <v>5.9467836260000002</v>
      </c>
    </row>
    <row r="216" spans="1:13" x14ac:dyDescent="0.3">
      <c r="A216" s="124" t="s">
        <v>369</v>
      </c>
      <c r="B216" s="124" t="s">
        <v>542</v>
      </c>
      <c r="C216" s="124" t="s">
        <v>1052</v>
      </c>
      <c r="D216" s="124" t="s">
        <v>1055</v>
      </c>
      <c r="E216" s="150">
        <v>20</v>
      </c>
      <c r="F216" s="150">
        <v>19.7</v>
      </c>
      <c r="G216" s="150">
        <v>62.6</v>
      </c>
      <c r="H216" s="150">
        <v>62.6</v>
      </c>
      <c r="I216" s="150">
        <v>42.599439779999997</v>
      </c>
      <c r="J216" s="150">
        <v>82.276470590000002</v>
      </c>
      <c r="K216" s="445">
        <v>-37.4</v>
      </c>
      <c r="L216" s="445">
        <v>-57.400560220000003</v>
      </c>
      <c r="M216" s="445">
        <v>-17.723529410000001</v>
      </c>
    </row>
    <row r="217" spans="1:13" x14ac:dyDescent="0.3">
      <c r="A217" s="124" t="s">
        <v>369</v>
      </c>
      <c r="B217" s="146" t="s">
        <v>542</v>
      </c>
      <c r="C217" s="146" t="s">
        <v>1056</v>
      </c>
      <c r="D217" s="146" t="s">
        <v>1055</v>
      </c>
      <c r="E217" s="148">
        <v>21.2</v>
      </c>
      <c r="F217" s="148">
        <v>21.6</v>
      </c>
      <c r="G217" s="148">
        <v>87.3</v>
      </c>
      <c r="H217" s="148">
        <v>87.3</v>
      </c>
      <c r="I217" s="148">
        <v>66.111204479999998</v>
      </c>
      <c r="J217" s="148">
        <v>108.9333333</v>
      </c>
      <c r="K217" s="445">
        <v>-12.7</v>
      </c>
      <c r="L217" s="445">
        <v>-33.888795520000002</v>
      </c>
      <c r="M217" s="445">
        <v>8.9333333330000002</v>
      </c>
    </row>
    <row r="218" spans="1:13" x14ac:dyDescent="0.3">
      <c r="A218" s="124" t="s">
        <v>369</v>
      </c>
      <c r="B218" s="146" t="s">
        <v>542</v>
      </c>
      <c r="C218" s="146" t="s">
        <v>1057</v>
      </c>
      <c r="D218" s="146" t="s">
        <v>1055</v>
      </c>
      <c r="E218" s="148">
        <v>19.3</v>
      </c>
      <c r="F218" s="148">
        <v>17.899999999999999</v>
      </c>
      <c r="G218" s="148">
        <v>94</v>
      </c>
      <c r="H218" s="148">
        <v>94</v>
      </c>
      <c r="I218" s="148">
        <v>74.667182659999995</v>
      </c>
      <c r="J218" s="148">
        <v>111.86222909999999</v>
      </c>
      <c r="K218" s="445">
        <v>-6</v>
      </c>
      <c r="L218" s="445">
        <v>-25.332817339999998</v>
      </c>
      <c r="M218" s="445">
        <v>11.8622291</v>
      </c>
    </row>
    <row r="219" spans="1:13" x14ac:dyDescent="0.3">
      <c r="A219" s="124" t="s">
        <v>369</v>
      </c>
      <c r="B219" s="124" t="s">
        <v>534</v>
      </c>
      <c r="C219" s="124" t="s">
        <v>1052</v>
      </c>
      <c r="D219" s="124" t="s">
        <v>1053</v>
      </c>
      <c r="E219" s="150">
        <v>9.5</v>
      </c>
      <c r="F219" s="150">
        <v>9.6</v>
      </c>
      <c r="G219" s="150">
        <v>31.6</v>
      </c>
      <c r="H219" s="150">
        <v>31.6</v>
      </c>
      <c r="I219" s="150">
        <v>22.107936509999998</v>
      </c>
      <c r="J219" s="150">
        <v>41.247619049999997</v>
      </c>
      <c r="K219" s="445">
        <v>-68.400000000000006</v>
      </c>
      <c r="L219" s="445">
        <v>-77.892063489999998</v>
      </c>
      <c r="M219" s="445">
        <v>-58.752380950000003</v>
      </c>
    </row>
    <row r="220" spans="1:13" x14ac:dyDescent="0.3">
      <c r="A220" s="124" t="s">
        <v>369</v>
      </c>
      <c r="B220" s="124" t="s">
        <v>534</v>
      </c>
      <c r="C220" s="124" t="s">
        <v>1056</v>
      </c>
      <c r="D220" s="124" t="s">
        <v>1053</v>
      </c>
      <c r="E220" s="150">
        <v>14.6</v>
      </c>
      <c r="F220" s="150">
        <v>17</v>
      </c>
      <c r="G220" s="150">
        <v>76.599999999999994</v>
      </c>
      <c r="H220" s="150">
        <v>76.599999999999994</v>
      </c>
      <c r="I220" s="150">
        <v>62.023976609999998</v>
      </c>
      <c r="J220" s="150">
        <v>93.57017544</v>
      </c>
      <c r="K220" s="445">
        <v>-23.4</v>
      </c>
      <c r="L220" s="445">
        <v>-37.976023390000002</v>
      </c>
      <c r="M220" s="445">
        <v>-6.4298245610000002</v>
      </c>
    </row>
    <row r="221" spans="1:13" x14ac:dyDescent="0.3">
      <c r="A221" s="124" t="s">
        <v>369</v>
      </c>
      <c r="B221" s="124" t="s">
        <v>534</v>
      </c>
      <c r="C221" s="124" t="s">
        <v>1057</v>
      </c>
      <c r="D221" s="124" t="s">
        <v>1053</v>
      </c>
      <c r="E221" s="150">
        <v>0</v>
      </c>
      <c r="F221" s="150">
        <v>0</v>
      </c>
      <c r="G221" s="150">
        <v>100</v>
      </c>
      <c r="H221" s="150">
        <v>100</v>
      </c>
      <c r="I221" s="150">
        <v>100</v>
      </c>
      <c r="J221" s="150">
        <v>100</v>
      </c>
      <c r="K221" s="445">
        <v>0</v>
      </c>
      <c r="L221" s="445">
        <v>0</v>
      </c>
      <c r="M221" s="445">
        <v>0</v>
      </c>
    </row>
    <row r="222" spans="1:13" x14ac:dyDescent="0.3">
      <c r="A222" s="124" t="s">
        <v>369</v>
      </c>
      <c r="B222" s="146" t="s">
        <v>534</v>
      </c>
      <c r="C222" s="124" t="s">
        <v>1052</v>
      </c>
      <c r="D222" s="146" t="s">
        <v>1054</v>
      </c>
      <c r="E222" s="150">
        <v>9.8000000000000007</v>
      </c>
      <c r="F222" s="150">
        <v>19.5</v>
      </c>
      <c r="G222" s="150">
        <v>23.9</v>
      </c>
      <c r="H222" s="150">
        <v>23.9</v>
      </c>
      <c r="I222" s="150">
        <v>14.057142860000001</v>
      </c>
      <c r="J222" s="150">
        <v>43.436507939999998</v>
      </c>
      <c r="K222" s="445">
        <v>-76.099999999999994</v>
      </c>
      <c r="L222" s="445">
        <v>-85.942857140000001</v>
      </c>
      <c r="M222" s="445">
        <v>-56.563492060000002</v>
      </c>
    </row>
    <row r="223" spans="1:13" x14ac:dyDescent="0.3">
      <c r="A223" s="124" t="s">
        <v>369</v>
      </c>
      <c r="B223" s="124" t="s">
        <v>534</v>
      </c>
      <c r="C223" s="124" t="s">
        <v>1056</v>
      </c>
      <c r="D223" s="124" t="s">
        <v>1054</v>
      </c>
      <c r="E223" s="150">
        <v>19.8</v>
      </c>
      <c r="F223" s="150">
        <v>20.100000000000001</v>
      </c>
      <c r="G223" s="150">
        <v>69.099999999999994</v>
      </c>
      <c r="H223" s="150">
        <v>69.099999999999994</v>
      </c>
      <c r="I223" s="150">
        <v>49.32222222</v>
      </c>
      <c r="J223" s="150">
        <v>89.2</v>
      </c>
      <c r="K223" s="445">
        <v>-30.9</v>
      </c>
      <c r="L223" s="445">
        <v>-50.67777778</v>
      </c>
      <c r="M223" s="445">
        <v>-10.8</v>
      </c>
    </row>
    <row r="224" spans="1:13" x14ac:dyDescent="0.3">
      <c r="A224" s="124" t="s">
        <v>369</v>
      </c>
      <c r="B224" s="124" t="s">
        <v>534</v>
      </c>
      <c r="C224" s="124" t="s">
        <v>1057</v>
      </c>
      <c r="D224" s="124" t="s">
        <v>1054</v>
      </c>
      <c r="E224" s="150">
        <v>16.2</v>
      </c>
      <c r="F224" s="150">
        <v>9.1999999999999993</v>
      </c>
      <c r="G224" s="150">
        <v>96.7</v>
      </c>
      <c r="H224" s="150">
        <v>96.7</v>
      </c>
      <c r="I224" s="150">
        <v>80.484795320000003</v>
      </c>
      <c r="J224" s="150">
        <v>105.9467836</v>
      </c>
      <c r="K224" s="445">
        <v>-3.3</v>
      </c>
      <c r="L224" s="445">
        <v>-19.51520468</v>
      </c>
      <c r="M224" s="445">
        <v>5.9467836260000002</v>
      </c>
    </row>
    <row r="225" spans="1:13" x14ac:dyDescent="0.3">
      <c r="A225" s="124" t="s">
        <v>369</v>
      </c>
      <c r="B225" s="124" t="s">
        <v>534</v>
      </c>
      <c r="C225" s="124" t="s">
        <v>1052</v>
      </c>
      <c r="D225" s="124" t="s">
        <v>1055</v>
      </c>
      <c r="E225" s="150">
        <v>20</v>
      </c>
      <c r="F225" s="150">
        <v>19.7</v>
      </c>
      <c r="G225" s="150">
        <v>62.6</v>
      </c>
      <c r="H225" s="150">
        <v>62.6</v>
      </c>
      <c r="I225" s="150">
        <v>42.599439779999997</v>
      </c>
      <c r="J225" s="150">
        <v>82.276470590000002</v>
      </c>
      <c r="K225" s="445">
        <v>-37.4</v>
      </c>
      <c r="L225" s="445">
        <v>-57.400560220000003</v>
      </c>
      <c r="M225" s="445">
        <v>-17.723529410000001</v>
      </c>
    </row>
    <row r="226" spans="1:13" x14ac:dyDescent="0.3">
      <c r="A226" s="124" t="s">
        <v>369</v>
      </c>
      <c r="B226" s="146" t="s">
        <v>534</v>
      </c>
      <c r="C226" s="146" t="s">
        <v>1056</v>
      </c>
      <c r="D226" s="124" t="s">
        <v>1055</v>
      </c>
      <c r="E226" s="148">
        <v>21.2</v>
      </c>
      <c r="F226" s="150">
        <v>21.6</v>
      </c>
      <c r="G226" s="150">
        <v>87.3</v>
      </c>
      <c r="H226" s="150">
        <v>87.3</v>
      </c>
      <c r="I226" s="150">
        <v>66.111204479999998</v>
      </c>
      <c r="J226" s="150">
        <v>108.9333333</v>
      </c>
      <c r="K226" s="445">
        <v>-12.7</v>
      </c>
      <c r="L226" s="445">
        <v>-33.888795520000002</v>
      </c>
      <c r="M226" s="445">
        <v>8.9333333330000002</v>
      </c>
    </row>
    <row r="227" spans="1:13" x14ac:dyDescent="0.3">
      <c r="A227" s="124" t="s">
        <v>369</v>
      </c>
      <c r="B227" s="146" t="s">
        <v>534</v>
      </c>
      <c r="C227" s="146" t="s">
        <v>1057</v>
      </c>
      <c r="D227" s="124" t="s">
        <v>1055</v>
      </c>
      <c r="E227" s="148">
        <v>19.3</v>
      </c>
      <c r="F227" s="150">
        <v>17.899999999999999</v>
      </c>
      <c r="G227" s="150">
        <v>94</v>
      </c>
      <c r="H227" s="150">
        <v>94</v>
      </c>
      <c r="I227" s="150">
        <v>74.667182659999995</v>
      </c>
      <c r="J227" s="150">
        <v>111.86222909999999</v>
      </c>
      <c r="K227" s="445">
        <v>-6</v>
      </c>
      <c r="L227" s="445">
        <v>-25.332817339999998</v>
      </c>
      <c r="M227" s="445">
        <v>11.8622291</v>
      </c>
    </row>
    <row r="228" spans="1:13" x14ac:dyDescent="0.3">
      <c r="A228" s="124" t="s">
        <v>369</v>
      </c>
      <c r="B228" s="124" t="s">
        <v>543</v>
      </c>
      <c r="C228" s="124" t="s">
        <v>1052</v>
      </c>
      <c r="D228" s="124" t="s">
        <v>1053</v>
      </c>
      <c r="E228" s="150">
        <v>8.1</v>
      </c>
      <c r="F228" s="150">
        <v>16.399999999999999</v>
      </c>
      <c r="G228" s="150">
        <v>24.9</v>
      </c>
      <c r="H228" s="150">
        <v>24.9</v>
      </c>
      <c r="I228" s="150">
        <v>16.76190476</v>
      </c>
      <c r="J228" s="150">
        <v>41.273433580000003</v>
      </c>
      <c r="K228" s="445">
        <v>-75.099999999999994</v>
      </c>
      <c r="L228" s="445">
        <v>-83.238095240000007</v>
      </c>
      <c r="M228" s="445">
        <v>-58.726566419999997</v>
      </c>
    </row>
    <row r="229" spans="1:13" x14ac:dyDescent="0.3">
      <c r="A229" s="124" t="s">
        <v>369</v>
      </c>
      <c r="B229" s="124" t="s">
        <v>543</v>
      </c>
      <c r="C229" s="124" t="s">
        <v>1056</v>
      </c>
      <c r="D229" s="124" t="s">
        <v>1053</v>
      </c>
      <c r="E229" s="150">
        <v>15.7</v>
      </c>
      <c r="F229" s="150">
        <v>18.2</v>
      </c>
      <c r="G229" s="150">
        <v>63.9</v>
      </c>
      <c r="H229" s="150">
        <v>63.9</v>
      </c>
      <c r="I229" s="150">
        <v>48.202217079999997</v>
      </c>
      <c r="J229" s="150">
        <v>82.05932138</v>
      </c>
      <c r="K229" s="445">
        <v>-36.1</v>
      </c>
      <c r="L229" s="445">
        <v>-51.797782920000003</v>
      </c>
      <c r="M229" s="445">
        <v>-17.94067862</v>
      </c>
    </row>
    <row r="230" spans="1:13" x14ac:dyDescent="0.3">
      <c r="A230" s="124" t="s">
        <v>369</v>
      </c>
      <c r="B230" s="124" t="s">
        <v>543</v>
      </c>
      <c r="C230" s="124" t="s">
        <v>1057</v>
      </c>
      <c r="D230" s="124" t="s">
        <v>1053</v>
      </c>
      <c r="E230" s="150">
        <v>0</v>
      </c>
      <c r="F230" s="150">
        <v>0</v>
      </c>
      <c r="G230" s="150">
        <v>100</v>
      </c>
      <c r="H230" s="150">
        <v>100</v>
      </c>
      <c r="I230" s="150">
        <v>100</v>
      </c>
      <c r="J230" s="150">
        <v>100</v>
      </c>
      <c r="K230" s="445">
        <v>0</v>
      </c>
      <c r="L230" s="445">
        <v>0</v>
      </c>
      <c r="M230" s="445">
        <v>0</v>
      </c>
    </row>
    <row r="231" spans="1:13" x14ac:dyDescent="0.3">
      <c r="A231" s="124" t="s">
        <v>369</v>
      </c>
      <c r="B231" s="146" t="s">
        <v>543</v>
      </c>
      <c r="C231" s="124" t="s">
        <v>1052</v>
      </c>
      <c r="D231" s="146" t="s">
        <v>1054</v>
      </c>
      <c r="E231" s="150">
        <v>14.9</v>
      </c>
      <c r="F231" s="150">
        <v>21.2</v>
      </c>
      <c r="G231" s="150">
        <v>24.2</v>
      </c>
      <c r="H231" s="150">
        <v>24.2</v>
      </c>
      <c r="I231" s="150">
        <v>9.2650980389999997</v>
      </c>
      <c r="J231" s="150">
        <v>45.358543419999997</v>
      </c>
      <c r="K231" s="445">
        <v>-75.8</v>
      </c>
      <c r="L231" s="445">
        <v>-90.734901960000002</v>
      </c>
      <c r="M231" s="445">
        <v>-54.641456580000003</v>
      </c>
    </row>
    <row r="232" spans="1:13" x14ac:dyDescent="0.3">
      <c r="A232" s="124" t="s">
        <v>369</v>
      </c>
      <c r="B232" s="146" t="s">
        <v>543</v>
      </c>
      <c r="C232" s="124" t="s">
        <v>1056</v>
      </c>
      <c r="D232" s="146" t="s">
        <v>1054</v>
      </c>
      <c r="E232" s="150">
        <v>18.899999999999999</v>
      </c>
      <c r="F232" s="150">
        <v>22.6</v>
      </c>
      <c r="G232" s="150">
        <v>57</v>
      </c>
      <c r="H232" s="150">
        <v>57</v>
      </c>
      <c r="I232" s="150">
        <v>38.126593409999998</v>
      </c>
      <c r="J232" s="150">
        <v>79.621611720000004</v>
      </c>
      <c r="K232" s="445">
        <v>-43</v>
      </c>
      <c r="L232" s="445">
        <v>-61.873406590000002</v>
      </c>
      <c r="M232" s="445">
        <v>-20.378388279999999</v>
      </c>
    </row>
    <row r="233" spans="1:13" x14ac:dyDescent="0.3">
      <c r="A233" s="124" t="s">
        <v>369</v>
      </c>
      <c r="B233" s="124" t="s">
        <v>543</v>
      </c>
      <c r="C233" s="124" t="s">
        <v>1057</v>
      </c>
      <c r="D233" s="124" t="s">
        <v>1054</v>
      </c>
      <c r="E233" s="150">
        <v>17</v>
      </c>
      <c r="F233" s="150">
        <v>10.7</v>
      </c>
      <c r="G233" s="150">
        <v>99</v>
      </c>
      <c r="H233" s="150">
        <v>99</v>
      </c>
      <c r="I233" s="150">
        <v>82.046783629999993</v>
      </c>
      <c r="J233" s="150">
        <v>109.72748540000001</v>
      </c>
      <c r="K233" s="445">
        <v>-1</v>
      </c>
      <c r="L233" s="445">
        <v>-17.95321637</v>
      </c>
      <c r="M233" s="445">
        <v>9.7274853799999992</v>
      </c>
    </row>
    <row r="234" spans="1:13" x14ac:dyDescent="0.3">
      <c r="A234" s="124" t="s">
        <v>369</v>
      </c>
      <c r="B234" s="124" t="s">
        <v>543</v>
      </c>
      <c r="C234" s="124" t="s">
        <v>1052</v>
      </c>
      <c r="D234" s="124" t="s">
        <v>1055</v>
      </c>
      <c r="E234" s="150">
        <v>23</v>
      </c>
      <c r="F234" s="150">
        <v>27.1</v>
      </c>
      <c r="G234" s="150">
        <v>55.5</v>
      </c>
      <c r="H234" s="150">
        <v>55.5</v>
      </c>
      <c r="I234" s="150">
        <v>32.505494509999998</v>
      </c>
      <c r="J234" s="150">
        <v>82.624542120000001</v>
      </c>
      <c r="K234" s="445">
        <v>-44.5</v>
      </c>
      <c r="L234" s="445">
        <v>-67.494505489999995</v>
      </c>
      <c r="M234" s="445">
        <v>-17.375457879999999</v>
      </c>
    </row>
    <row r="235" spans="1:13" x14ac:dyDescent="0.3">
      <c r="A235" s="124" t="s">
        <v>369</v>
      </c>
      <c r="B235" s="124" t="s">
        <v>543</v>
      </c>
      <c r="C235" s="124" t="s">
        <v>1056</v>
      </c>
      <c r="D235" s="124" t="s">
        <v>1055</v>
      </c>
      <c r="E235" s="150">
        <v>17.100000000000001</v>
      </c>
      <c r="F235" s="150">
        <v>19.5</v>
      </c>
      <c r="G235" s="150">
        <v>79</v>
      </c>
      <c r="H235" s="150">
        <v>79</v>
      </c>
      <c r="I235" s="150">
        <v>61.914285710000001</v>
      </c>
      <c r="J235" s="150">
        <v>98.52857143</v>
      </c>
      <c r="K235" s="445">
        <v>-21</v>
      </c>
      <c r="L235" s="445">
        <v>-38.085714289999999</v>
      </c>
      <c r="M235" s="445">
        <v>-1.4714285709999999</v>
      </c>
    </row>
    <row r="236" spans="1:13" x14ac:dyDescent="0.3">
      <c r="A236" s="124" t="s">
        <v>369</v>
      </c>
      <c r="B236" s="146" t="s">
        <v>543</v>
      </c>
      <c r="C236" s="146" t="s">
        <v>1057</v>
      </c>
      <c r="D236" s="124" t="s">
        <v>1055</v>
      </c>
      <c r="E236" s="148">
        <v>18.899999999999999</v>
      </c>
      <c r="F236" s="150">
        <v>19.600000000000001</v>
      </c>
      <c r="G236" s="150">
        <v>95.8</v>
      </c>
      <c r="H236" s="150">
        <v>95.8</v>
      </c>
      <c r="I236" s="150">
        <v>76.879463360000003</v>
      </c>
      <c r="J236" s="150">
        <v>115.4087719</v>
      </c>
      <c r="K236" s="445">
        <v>-4.2</v>
      </c>
      <c r="L236" s="445">
        <v>-23.120536640000001</v>
      </c>
      <c r="M236" s="445">
        <v>15.40877193</v>
      </c>
    </row>
    <row r="237" spans="1:13" x14ac:dyDescent="0.3">
      <c r="A237" s="124" t="s">
        <v>369</v>
      </c>
      <c r="B237" s="124" t="s">
        <v>496</v>
      </c>
      <c r="C237" s="124" t="s">
        <v>1052</v>
      </c>
      <c r="D237" s="124" t="s">
        <v>1053</v>
      </c>
      <c r="E237" s="150">
        <v>4.9000000000000004</v>
      </c>
      <c r="F237" s="150">
        <v>6.8</v>
      </c>
      <c r="G237" s="150">
        <v>16.8</v>
      </c>
      <c r="H237" s="150">
        <v>16.8</v>
      </c>
      <c r="I237" s="150">
        <v>11.85882353</v>
      </c>
      <c r="J237" s="150">
        <v>23.63006536</v>
      </c>
      <c r="K237" s="445">
        <v>-83.2</v>
      </c>
      <c r="L237" s="445">
        <v>-88.141176470000005</v>
      </c>
      <c r="M237" s="445">
        <v>-76.369934639999997</v>
      </c>
    </row>
    <row r="238" spans="1:13" x14ac:dyDescent="0.3">
      <c r="A238" s="124" t="s">
        <v>369</v>
      </c>
      <c r="B238" s="124" t="s">
        <v>496</v>
      </c>
      <c r="C238" s="124" t="s">
        <v>1056</v>
      </c>
      <c r="D238" s="124" t="s">
        <v>1053</v>
      </c>
      <c r="E238" s="150">
        <v>15.4</v>
      </c>
      <c r="F238" s="150">
        <v>16.2</v>
      </c>
      <c r="G238" s="150">
        <v>57</v>
      </c>
      <c r="H238" s="150">
        <v>57</v>
      </c>
      <c r="I238" s="150">
        <v>41.59925303</v>
      </c>
      <c r="J238" s="150">
        <v>73.186461249999994</v>
      </c>
      <c r="K238" s="445">
        <v>-43</v>
      </c>
      <c r="L238" s="445">
        <v>-58.40074697</v>
      </c>
      <c r="M238" s="445">
        <v>-26.813538749999999</v>
      </c>
    </row>
    <row r="239" spans="1:13" x14ac:dyDescent="0.3">
      <c r="A239" s="124" t="s">
        <v>369</v>
      </c>
      <c r="B239" s="124" t="s">
        <v>496</v>
      </c>
      <c r="C239" s="124" t="s">
        <v>1057</v>
      </c>
      <c r="D239" s="124" t="s">
        <v>1053</v>
      </c>
      <c r="E239" s="150">
        <v>0</v>
      </c>
      <c r="F239" s="150">
        <v>0</v>
      </c>
      <c r="G239" s="150">
        <v>100</v>
      </c>
      <c r="H239" s="150">
        <v>100</v>
      </c>
      <c r="I239" s="150">
        <v>100</v>
      </c>
      <c r="J239" s="150">
        <v>100</v>
      </c>
      <c r="K239" s="445">
        <v>0</v>
      </c>
      <c r="L239" s="445">
        <v>0</v>
      </c>
      <c r="M239" s="445">
        <v>0</v>
      </c>
    </row>
    <row r="240" spans="1:13" x14ac:dyDescent="0.3">
      <c r="A240" s="124" t="s">
        <v>369</v>
      </c>
      <c r="B240" s="146" t="s">
        <v>496</v>
      </c>
      <c r="C240" s="124" t="s">
        <v>1052</v>
      </c>
      <c r="D240" s="124" t="s">
        <v>1054</v>
      </c>
      <c r="E240" s="150">
        <v>6.2</v>
      </c>
      <c r="F240" s="150">
        <v>14.8</v>
      </c>
      <c r="G240" s="150">
        <v>10.7</v>
      </c>
      <c r="H240" s="150">
        <v>10.7</v>
      </c>
      <c r="I240" s="150">
        <v>4.5313283210000002</v>
      </c>
      <c r="J240" s="150">
        <v>25.462740180000001</v>
      </c>
      <c r="K240" s="445">
        <v>-89.3</v>
      </c>
      <c r="L240" s="445">
        <v>-95.46867168</v>
      </c>
      <c r="M240" s="445">
        <v>-74.537259820000003</v>
      </c>
    </row>
    <row r="241" spans="1:13" x14ac:dyDescent="0.3">
      <c r="A241" s="124" t="s">
        <v>369</v>
      </c>
      <c r="B241" s="146" t="s">
        <v>496</v>
      </c>
      <c r="C241" s="124" t="s">
        <v>1056</v>
      </c>
      <c r="D241" s="146" t="s">
        <v>1054</v>
      </c>
      <c r="E241" s="150">
        <v>16.3</v>
      </c>
      <c r="F241" s="150">
        <v>31</v>
      </c>
      <c r="G241" s="150">
        <v>50.6</v>
      </c>
      <c r="H241" s="150">
        <v>50.6</v>
      </c>
      <c r="I241" s="150">
        <v>34.29503759</v>
      </c>
      <c r="J241" s="150">
        <v>81.638145359999996</v>
      </c>
      <c r="K241" s="445">
        <v>-49.4</v>
      </c>
      <c r="L241" s="445">
        <v>-65.704962409999993</v>
      </c>
      <c r="M241" s="445">
        <v>-18.361854640000001</v>
      </c>
    </row>
    <row r="242" spans="1:13" x14ac:dyDescent="0.3">
      <c r="A242" s="124" t="s">
        <v>369</v>
      </c>
      <c r="B242" s="124" t="s">
        <v>496</v>
      </c>
      <c r="C242" s="124" t="s">
        <v>1057</v>
      </c>
      <c r="D242" s="124" t="s">
        <v>1054</v>
      </c>
      <c r="E242" s="150">
        <v>19.5</v>
      </c>
      <c r="F242" s="150">
        <v>10.1</v>
      </c>
      <c r="G242" s="150">
        <v>99.8</v>
      </c>
      <c r="H242" s="150">
        <v>99.8</v>
      </c>
      <c r="I242" s="150">
        <v>80.251461989999996</v>
      </c>
      <c r="J242" s="150">
        <v>109.8830409</v>
      </c>
      <c r="K242" s="445">
        <v>-0.2</v>
      </c>
      <c r="L242" s="445">
        <v>-19.748538010000001</v>
      </c>
      <c r="M242" s="445">
        <v>9.8830409360000004</v>
      </c>
    </row>
    <row r="243" spans="1:13" x14ac:dyDescent="0.3">
      <c r="A243" s="124" t="s">
        <v>369</v>
      </c>
      <c r="B243" s="124" t="s">
        <v>496</v>
      </c>
      <c r="C243" s="124" t="s">
        <v>1052</v>
      </c>
      <c r="D243" s="124" t="s">
        <v>1055</v>
      </c>
      <c r="E243" s="150">
        <v>34.200000000000003</v>
      </c>
      <c r="F243" s="150">
        <v>33</v>
      </c>
      <c r="G243" s="150">
        <v>53.5</v>
      </c>
      <c r="H243" s="150">
        <v>53.5</v>
      </c>
      <c r="I243" s="150">
        <v>19.26825397</v>
      </c>
      <c r="J243" s="150">
        <v>86.453968250000003</v>
      </c>
      <c r="K243" s="445">
        <v>-46.5</v>
      </c>
      <c r="L243" s="445">
        <v>-80.731746029999996</v>
      </c>
      <c r="M243" s="445">
        <v>-13.546031749999999</v>
      </c>
    </row>
    <row r="244" spans="1:13" x14ac:dyDescent="0.3">
      <c r="A244" s="124" t="s">
        <v>369</v>
      </c>
      <c r="B244" s="124" t="s">
        <v>496</v>
      </c>
      <c r="C244" s="124" t="s">
        <v>1056</v>
      </c>
      <c r="D244" s="124" t="s">
        <v>1055</v>
      </c>
      <c r="E244" s="150">
        <v>34.5</v>
      </c>
      <c r="F244" s="150">
        <v>26.2</v>
      </c>
      <c r="G244" s="150">
        <v>77.2</v>
      </c>
      <c r="H244" s="150">
        <v>77.2</v>
      </c>
      <c r="I244" s="150">
        <v>42.661753930000003</v>
      </c>
      <c r="J244" s="150">
        <v>103.4433743</v>
      </c>
      <c r="K244" s="445">
        <v>-22.8</v>
      </c>
      <c r="L244" s="445">
        <v>-57.338246069999997</v>
      </c>
      <c r="M244" s="445">
        <v>3.4433742729999999</v>
      </c>
    </row>
    <row r="245" spans="1:13" x14ac:dyDescent="0.3">
      <c r="A245" s="124" t="s">
        <v>369</v>
      </c>
      <c r="B245" s="146" t="s">
        <v>496</v>
      </c>
      <c r="C245" s="146" t="s">
        <v>1057</v>
      </c>
      <c r="D245" s="124" t="s">
        <v>1055</v>
      </c>
      <c r="E245" s="148">
        <v>23.4</v>
      </c>
      <c r="F245" s="150">
        <v>19.100000000000001</v>
      </c>
      <c r="G245" s="150">
        <v>95</v>
      </c>
      <c r="H245" s="150">
        <v>95</v>
      </c>
      <c r="I245" s="150">
        <v>71.611111109999996</v>
      </c>
      <c r="J245" s="150">
        <v>114.1111111</v>
      </c>
      <c r="K245" s="445">
        <v>-5</v>
      </c>
      <c r="L245" s="445">
        <v>-28.38888889</v>
      </c>
      <c r="M245" s="445">
        <v>14.11111111</v>
      </c>
    </row>
    <row r="246" spans="1:13" x14ac:dyDescent="0.3">
      <c r="A246" s="124" t="s">
        <v>369</v>
      </c>
      <c r="B246" s="124" t="s">
        <v>419</v>
      </c>
      <c r="C246" s="124" t="s">
        <v>1052</v>
      </c>
      <c r="D246" s="124" t="s">
        <v>1053</v>
      </c>
      <c r="E246" s="150">
        <v>7.4</v>
      </c>
      <c r="F246" s="150">
        <v>10.1</v>
      </c>
      <c r="G246" s="150">
        <v>30.3</v>
      </c>
      <c r="H246" s="150">
        <v>30.3</v>
      </c>
      <c r="I246" s="150">
        <v>22.928571430000002</v>
      </c>
      <c r="J246" s="150">
        <v>40.404761899999997</v>
      </c>
      <c r="K246" s="445">
        <v>-69.7</v>
      </c>
      <c r="L246" s="445">
        <v>-77.071428569999995</v>
      </c>
      <c r="M246" s="445">
        <v>-59.595238100000003</v>
      </c>
    </row>
    <row r="247" spans="1:13" x14ac:dyDescent="0.3">
      <c r="A247" s="124" t="s">
        <v>369</v>
      </c>
      <c r="B247" s="124" t="s">
        <v>419</v>
      </c>
      <c r="C247" s="124" t="s">
        <v>1056</v>
      </c>
      <c r="D247" s="124" t="s">
        <v>1053</v>
      </c>
      <c r="E247" s="150">
        <v>12.2</v>
      </c>
      <c r="F247" s="150">
        <v>15.3</v>
      </c>
      <c r="G247" s="150">
        <v>65.099999999999994</v>
      </c>
      <c r="H247" s="150">
        <v>65.099999999999994</v>
      </c>
      <c r="I247" s="150">
        <v>52.9</v>
      </c>
      <c r="J247" s="150">
        <v>80.433333329999996</v>
      </c>
      <c r="K247" s="445">
        <v>-34.9</v>
      </c>
      <c r="L247" s="445">
        <v>-47.1</v>
      </c>
      <c r="M247" s="445">
        <v>-19.56666667</v>
      </c>
    </row>
    <row r="248" spans="1:13" x14ac:dyDescent="0.3">
      <c r="A248" s="124" t="s">
        <v>369</v>
      </c>
      <c r="B248" s="124" t="s">
        <v>419</v>
      </c>
      <c r="C248" s="124" t="s">
        <v>1057</v>
      </c>
      <c r="D248" s="124" t="s">
        <v>1053</v>
      </c>
      <c r="E248" s="150">
        <v>0</v>
      </c>
      <c r="F248" s="150">
        <v>0</v>
      </c>
      <c r="G248" s="150">
        <v>100</v>
      </c>
      <c r="H248" s="150">
        <v>100</v>
      </c>
      <c r="I248" s="150">
        <v>100</v>
      </c>
      <c r="J248" s="150">
        <v>100</v>
      </c>
      <c r="K248" s="445">
        <v>0</v>
      </c>
      <c r="L248" s="445">
        <v>0</v>
      </c>
      <c r="M248" s="445">
        <v>0</v>
      </c>
    </row>
    <row r="249" spans="1:13" x14ac:dyDescent="0.3">
      <c r="A249" s="124" t="s">
        <v>369</v>
      </c>
      <c r="B249" s="146" t="s">
        <v>419</v>
      </c>
      <c r="C249" s="124" t="s">
        <v>1052</v>
      </c>
      <c r="D249" s="124" t="s">
        <v>1054</v>
      </c>
      <c r="E249" s="150">
        <v>12.9</v>
      </c>
      <c r="F249" s="150">
        <v>20.399999999999999</v>
      </c>
      <c r="G249" s="150">
        <v>20.2</v>
      </c>
      <c r="H249" s="150">
        <v>20.2</v>
      </c>
      <c r="I249" s="150">
        <v>7.2952380950000002</v>
      </c>
      <c r="J249" s="150">
        <v>40.595238100000003</v>
      </c>
      <c r="K249" s="445">
        <v>-79.8</v>
      </c>
      <c r="L249" s="445">
        <v>-92.704761899999994</v>
      </c>
      <c r="M249" s="445">
        <v>-59.404761899999997</v>
      </c>
    </row>
    <row r="250" spans="1:13" x14ac:dyDescent="0.3">
      <c r="A250" s="124" t="s">
        <v>369</v>
      </c>
      <c r="B250" s="146" t="s">
        <v>419</v>
      </c>
      <c r="C250" s="124" t="s">
        <v>1056</v>
      </c>
      <c r="D250" s="146" t="s">
        <v>1054</v>
      </c>
      <c r="E250" s="150">
        <v>14.9</v>
      </c>
      <c r="F250" s="150">
        <v>22.2</v>
      </c>
      <c r="G250" s="150">
        <v>57.6</v>
      </c>
      <c r="H250" s="150">
        <v>57.6</v>
      </c>
      <c r="I250" s="150">
        <v>42.733333330000001</v>
      </c>
      <c r="J250" s="150">
        <v>79.761904759999993</v>
      </c>
      <c r="K250" s="445">
        <v>-42.4</v>
      </c>
      <c r="L250" s="445">
        <v>-57.266666669999999</v>
      </c>
      <c r="M250" s="445">
        <v>-20.23809524</v>
      </c>
    </row>
    <row r="251" spans="1:13" x14ac:dyDescent="0.3">
      <c r="A251" s="124" t="s">
        <v>369</v>
      </c>
      <c r="B251" s="124" t="s">
        <v>419</v>
      </c>
      <c r="C251" s="124" t="s">
        <v>1057</v>
      </c>
      <c r="D251" s="124" t="s">
        <v>1054</v>
      </c>
      <c r="E251" s="150">
        <v>17</v>
      </c>
      <c r="F251" s="150">
        <v>9.6</v>
      </c>
      <c r="G251" s="150">
        <v>95.1</v>
      </c>
      <c r="H251" s="150">
        <v>95.1</v>
      </c>
      <c r="I251" s="150">
        <v>78.133333329999999</v>
      </c>
      <c r="J251" s="150">
        <v>104.74444440000001</v>
      </c>
      <c r="K251" s="445">
        <v>-4.9000000000000004</v>
      </c>
      <c r="L251" s="445">
        <v>-21.866666670000001</v>
      </c>
      <c r="M251" s="445">
        <v>4.744444444</v>
      </c>
    </row>
    <row r="252" spans="1:13" x14ac:dyDescent="0.3">
      <c r="A252" s="124" t="s">
        <v>369</v>
      </c>
      <c r="B252" s="124" t="s">
        <v>419</v>
      </c>
      <c r="C252" s="124" t="s">
        <v>1052</v>
      </c>
      <c r="D252" s="124" t="s">
        <v>1055</v>
      </c>
      <c r="E252" s="150">
        <v>19.899999999999999</v>
      </c>
      <c r="F252" s="150">
        <v>28</v>
      </c>
      <c r="G252" s="150">
        <v>44.8</v>
      </c>
      <c r="H252" s="150">
        <v>44.8</v>
      </c>
      <c r="I252" s="150">
        <v>24.932673990000001</v>
      </c>
      <c r="J252" s="150">
        <v>72.751135529999999</v>
      </c>
      <c r="K252" s="445">
        <v>-55.2</v>
      </c>
      <c r="L252" s="445">
        <v>-75.067326010000002</v>
      </c>
      <c r="M252" s="445">
        <v>-27.248864470000001</v>
      </c>
    </row>
    <row r="253" spans="1:13" x14ac:dyDescent="0.3">
      <c r="A253" s="124" t="s">
        <v>369</v>
      </c>
      <c r="B253" s="124" t="s">
        <v>419</v>
      </c>
      <c r="C253" s="124" t="s">
        <v>1056</v>
      </c>
      <c r="D253" s="124" t="s">
        <v>1055</v>
      </c>
      <c r="E253" s="150">
        <v>23.5</v>
      </c>
      <c r="F253" s="150">
        <v>21.8</v>
      </c>
      <c r="G253" s="150">
        <v>61.8</v>
      </c>
      <c r="H253" s="150">
        <v>61.8</v>
      </c>
      <c r="I253" s="150">
        <v>38.256190480000001</v>
      </c>
      <c r="J253" s="150">
        <v>83.619047620000003</v>
      </c>
      <c r="K253" s="445">
        <v>-38.200000000000003</v>
      </c>
      <c r="L253" s="445">
        <v>-61.743809519999999</v>
      </c>
      <c r="M253" s="445">
        <v>-16.38095238</v>
      </c>
    </row>
    <row r="254" spans="1:13" x14ac:dyDescent="0.3">
      <c r="A254" s="124" t="s">
        <v>369</v>
      </c>
      <c r="B254" s="146" t="s">
        <v>419</v>
      </c>
      <c r="C254" s="146" t="s">
        <v>1057</v>
      </c>
      <c r="D254" s="124" t="s">
        <v>1055</v>
      </c>
      <c r="E254" s="148">
        <v>22.9</v>
      </c>
      <c r="F254" s="150">
        <v>16.100000000000001</v>
      </c>
      <c r="G254" s="150">
        <v>79.099999999999994</v>
      </c>
      <c r="H254" s="150">
        <v>79.099999999999994</v>
      </c>
      <c r="I254" s="150">
        <v>56.247619049999997</v>
      </c>
      <c r="J254" s="150">
        <v>95.195238099999997</v>
      </c>
      <c r="K254" s="445">
        <v>-20.9</v>
      </c>
      <c r="L254" s="445">
        <v>-43.752380950000003</v>
      </c>
      <c r="M254" s="445">
        <v>-4.8047619050000003</v>
      </c>
    </row>
    <row r="255" spans="1:13" x14ac:dyDescent="0.3">
      <c r="A255" s="124" t="s">
        <v>17</v>
      </c>
      <c r="B255" s="124" t="s">
        <v>19</v>
      </c>
      <c r="C255" s="124" t="s">
        <v>1052</v>
      </c>
      <c r="D255" s="124" t="s">
        <v>1053</v>
      </c>
      <c r="E255" s="150">
        <v>19.952380952380953</v>
      </c>
      <c r="F255" s="150">
        <v>14.238095238095237</v>
      </c>
      <c r="G255" s="150">
        <v>72.142857142857139</v>
      </c>
      <c r="H255" s="150">
        <v>72.142857142857139</v>
      </c>
      <c r="I255" s="150">
        <v>52.19047619047619</v>
      </c>
      <c r="J255" s="150">
        <v>86.38095238095238</v>
      </c>
      <c r="K255" s="445">
        <f t="shared" ref="K255:K318" si="0">0-(100-H255)</f>
        <v>-27.857142857142861</v>
      </c>
      <c r="L255" s="445">
        <f t="shared" ref="L255:L318" si="1">0-(100-I255)</f>
        <v>-47.80952380952381</v>
      </c>
      <c r="M255" s="445">
        <f t="shared" ref="M255:M318" si="2">0-(100-J255)</f>
        <v>-13.61904761904762</v>
      </c>
    </row>
    <row r="256" spans="1:13" x14ac:dyDescent="0.3">
      <c r="A256" s="124" t="s">
        <v>17</v>
      </c>
      <c r="B256" s="124" t="s">
        <v>19</v>
      </c>
      <c r="C256" s="124" t="s">
        <v>1056</v>
      </c>
      <c r="D256" s="124" t="s">
        <v>1053</v>
      </c>
      <c r="E256" s="150">
        <v>17.029478458049887</v>
      </c>
      <c r="F256" s="150">
        <v>9.4104308390022684</v>
      </c>
      <c r="G256" s="150">
        <v>86.428571428571431</v>
      </c>
      <c r="H256" s="150">
        <v>86.428571428571431</v>
      </c>
      <c r="I256" s="150">
        <v>69.399092970521536</v>
      </c>
      <c r="J256" s="150">
        <v>95.839002267573704</v>
      </c>
      <c r="K256" s="445">
        <f t="shared" si="0"/>
        <v>-13.571428571428569</v>
      </c>
      <c r="L256" s="445">
        <f t="shared" si="1"/>
        <v>-30.600907029478464</v>
      </c>
      <c r="M256" s="445">
        <f t="shared" si="2"/>
        <v>-4.1609977324262957</v>
      </c>
    </row>
    <row r="257" spans="1:13" x14ac:dyDescent="0.3">
      <c r="A257" s="124" t="s">
        <v>17</v>
      </c>
      <c r="B257" s="124" t="s">
        <v>19</v>
      </c>
      <c r="C257" s="124" t="s">
        <v>1057</v>
      </c>
      <c r="D257" s="124" t="s">
        <v>1053</v>
      </c>
      <c r="E257" s="150">
        <v>0</v>
      </c>
      <c r="F257" s="150">
        <v>0</v>
      </c>
      <c r="G257" s="150">
        <v>100</v>
      </c>
      <c r="H257" s="150">
        <v>100</v>
      </c>
      <c r="I257" s="150">
        <v>100</v>
      </c>
      <c r="J257" s="150">
        <v>100</v>
      </c>
      <c r="K257" s="445">
        <f t="shared" si="0"/>
        <v>0</v>
      </c>
      <c r="L257" s="445">
        <f t="shared" si="1"/>
        <v>0</v>
      </c>
      <c r="M257" s="445">
        <f t="shared" si="2"/>
        <v>0</v>
      </c>
    </row>
    <row r="258" spans="1:13" x14ac:dyDescent="0.3">
      <c r="A258" s="124" t="s">
        <v>17</v>
      </c>
      <c r="B258" s="146" t="s">
        <v>19</v>
      </c>
      <c r="C258" s="124" t="s">
        <v>1052</v>
      </c>
      <c r="D258" s="146" t="s">
        <v>1054</v>
      </c>
      <c r="E258" s="150">
        <v>23.26530612244898</v>
      </c>
      <c r="F258" s="150">
        <v>18.707482993197278</v>
      </c>
      <c r="G258" s="150">
        <v>57.857142857142854</v>
      </c>
      <c r="H258" s="150">
        <v>57.857142857142854</v>
      </c>
      <c r="I258" s="150">
        <v>34.591836734693871</v>
      </c>
      <c r="J258" s="150">
        <v>76.564625850340136</v>
      </c>
      <c r="K258" s="445">
        <f t="shared" si="0"/>
        <v>-42.142857142857146</v>
      </c>
      <c r="L258" s="445">
        <f t="shared" si="1"/>
        <v>-65.408163265306129</v>
      </c>
      <c r="M258" s="445">
        <f t="shared" si="2"/>
        <v>-23.435374149659864</v>
      </c>
    </row>
    <row r="259" spans="1:13" x14ac:dyDescent="0.3">
      <c r="A259" s="124" t="s">
        <v>17</v>
      </c>
      <c r="B259" s="124" t="s">
        <v>19</v>
      </c>
      <c r="C259" s="124" t="s">
        <v>1056</v>
      </c>
      <c r="D259" s="124" t="s">
        <v>1054</v>
      </c>
      <c r="E259" s="150">
        <v>20.975056689342402</v>
      </c>
      <c r="F259" s="150">
        <v>12.789115646258503</v>
      </c>
      <c r="G259" s="150">
        <v>80</v>
      </c>
      <c r="H259" s="150">
        <v>80</v>
      </c>
      <c r="I259" s="150">
        <v>59.024943310657598</v>
      </c>
      <c r="J259" s="150">
        <v>92.789115646258509</v>
      </c>
      <c r="K259" s="445">
        <f t="shared" si="0"/>
        <v>-20</v>
      </c>
      <c r="L259" s="445">
        <f t="shared" si="1"/>
        <v>-40.975056689342402</v>
      </c>
      <c r="M259" s="445">
        <f t="shared" si="2"/>
        <v>-7.2108843537414913</v>
      </c>
    </row>
    <row r="260" spans="1:13" x14ac:dyDescent="0.3">
      <c r="A260" s="124" t="s">
        <v>17</v>
      </c>
      <c r="B260" s="124" t="s">
        <v>19</v>
      </c>
      <c r="C260" s="124" t="s">
        <v>1057</v>
      </c>
      <c r="D260" s="124" t="s">
        <v>1054</v>
      </c>
      <c r="E260" s="150">
        <v>24.569160997732421</v>
      </c>
      <c r="F260" s="150">
        <v>5.7029478458049896</v>
      </c>
      <c r="G260" s="150">
        <v>95</v>
      </c>
      <c r="H260" s="150">
        <v>95</v>
      </c>
      <c r="I260" s="150">
        <v>70.430839002267575</v>
      </c>
      <c r="J260" s="150">
        <v>100.70294784580499</v>
      </c>
      <c r="K260" s="445">
        <f t="shared" si="0"/>
        <v>-5</v>
      </c>
      <c r="L260" s="445">
        <f t="shared" si="1"/>
        <v>-29.569160997732425</v>
      </c>
      <c r="M260" s="445">
        <f t="shared" si="2"/>
        <v>0.70294784580498515</v>
      </c>
    </row>
    <row r="261" spans="1:13" x14ac:dyDescent="0.3">
      <c r="A261" s="124" t="s">
        <v>17</v>
      </c>
      <c r="B261" s="124" t="s">
        <v>19</v>
      </c>
      <c r="C261" s="124" t="s">
        <v>1052</v>
      </c>
      <c r="D261" s="124" t="s">
        <v>1055</v>
      </c>
      <c r="E261" s="150">
        <v>39.965986394557824</v>
      </c>
      <c r="F261" s="150">
        <v>17.925170068027207</v>
      </c>
      <c r="G261" s="150">
        <v>57.857142857142854</v>
      </c>
      <c r="H261" s="150">
        <v>57.857142857142854</v>
      </c>
      <c r="I261" s="150">
        <v>17.89115646258503</v>
      </c>
      <c r="J261" s="150">
        <v>75.782312925170061</v>
      </c>
      <c r="K261" s="445">
        <f t="shared" si="0"/>
        <v>-42.142857142857146</v>
      </c>
      <c r="L261" s="445">
        <f t="shared" si="1"/>
        <v>-82.10884353741497</v>
      </c>
      <c r="M261" s="445">
        <f t="shared" si="2"/>
        <v>-24.217687074829939</v>
      </c>
    </row>
    <row r="262" spans="1:13" x14ac:dyDescent="0.3">
      <c r="A262" s="124" t="s">
        <v>17</v>
      </c>
      <c r="B262" s="124" t="s">
        <v>19</v>
      </c>
      <c r="C262" s="124" t="s">
        <v>1056</v>
      </c>
      <c r="D262" s="124" t="s">
        <v>1055</v>
      </c>
      <c r="E262" s="150">
        <v>20.011337868480727</v>
      </c>
      <c r="F262" s="150">
        <v>18.990929705215418</v>
      </c>
      <c r="G262" s="150">
        <v>64.285714285714292</v>
      </c>
      <c r="H262" s="150">
        <v>64.285714285714292</v>
      </c>
      <c r="I262" s="150">
        <v>44.274376417233569</v>
      </c>
      <c r="J262" s="150">
        <v>83.276643990929713</v>
      </c>
      <c r="K262" s="445">
        <f t="shared" si="0"/>
        <v>-35.714285714285708</v>
      </c>
      <c r="L262" s="445">
        <f t="shared" si="1"/>
        <v>-55.725623582766431</v>
      </c>
      <c r="M262" s="445">
        <f t="shared" si="2"/>
        <v>-16.723356009070287</v>
      </c>
    </row>
    <row r="263" spans="1:13" x14ac:dyDescent="0.3">
      <c r="A263" s="124" t="s">
        <v>17</v>
      </c>
      <c r="B263" s="146" t="s">
        <v>19</v>
      </c>
      <c r="C263" s="146" t="s">
        <v>1057</v>
      </c>
      <c r="D263" s="124" t="s">
        <v>1055</v>
      </c>
      <c r="E263" s="148">
        <v>25.839002267573697</v>
      </c>
      <c r="F263" s="150">
        <v>21.553287981859409</v>
      </c>
      <c r="G263" s="150">
        <v>73.571428571428569</v>
      </c>
      <c r="H263" s="150">
        <v>73.571428571428569</v>
      </c>
      <c r="I263" s="150">
        <v>47.732426303854872</v>
      </c>
      <c r="J263" s="150">
        <v>95.124716553287982</v>
      </c>
      <c r="K263" s="445">
        <f t="shared" si="0"/>
        <v>-26.428571428571431</v>
      </c>
      <c r="L263" s="445">
        <f t="shared" si="1"/>
        <v>-52.267573696145128</v>
      </c>
      <c r="M263" s="445">
        <f t="shared" si="2"/>
        <v>-4.8752834467120181</v>
      </c>
    </row>
    <row r="264" spans="1:13" x14ac:dyDescent="0.3">
      <c r="A264" s="124" t="s">
        <v>17</v>
      </c>
      <c r="B264" s="124" t="s">
        <v>22</v>
      </c>
      <c r="C264" s="124" t="s">
        <v>1052</v>
      </c>
      <c r="D264" s="124" t="s">
        <v>1053</v>
      </c>
      <c r="E264" s="150">
        <v>30.69387755102041</v>
      </c>
      <c r="F264" s="150">
        <v>11.26530612244898</v>
      </c>
      <c r="G264" s="150">
        <v>61.428571428571431</v>
      </c>
      <c r="H264" s="150">
        <v>61.428571428571431</v>
      </c>
      <c r="I264" s="150">
        <v>30.73469387755102</v>
      </c>
      <c r="J264" s="150">
        <v>72.693877551020407</v>
      </c>
      <c r="K264" s="445">
        <f t="shared" si="0"/>
        <v>-38.571428571428569</v>
      </c>
      <c r="L264" s="445">
        <f t="shared" si="1"/>
        <v>-69.265306122448976</v>
      </c>
      <c r="M264" s="445">
        <f t="shared" si="2"/>
        <v>-27.306122448979593</v>
      </c>
    </row>
    <row r="265" spans="1:13" x14ac:dyDescent="0.3">
      <c r="A265" s="124" t="s">
        <v>17</v>
      </c>
      <c r="B265" s="124" t="s">
        <v>22</v>
      </c>
      <c r="C265" s="124" t="s">
        <v>1056</v>
      </c>
      <c r="D265" s="124" t="s">
        <v>1053</v>
      </c>
      <c r="E265" s="150">
        <v>19.634920634920636</v>
      </c>
      <c r="F265" s="150">
        <v>10.777777777777777</v>
      </c>
      <c r="G265" s="150">
        <v>78.571428571428569</v>
      </c>
      <c r="H265" s="150">
        <v>78.571428571428569</v>
      </c>
      <c r="I265" s="150">
        <v>58.936507936507937</v>
      </c>
      <c r="J265" s="150">
        <v>89.349206349206341</v>
      </c>
      <c r="K265" s="445">
        <f t="shared" si="0"/>
        <v>-21.428571428571431</v>
      </c>
      <c r="L265" s="445">
        <f t="shared" si="1"/>
        <v>-41.063492063492063</v>
      </c>
      <c r="M265" s="445">
        <f t="shared" si="2"/>
        <v>-10.650793650793659</v>
      </c>
    </row>
    <row r="266" spans="1:13" x14ac:dyDescent="0.3">
      <c r="A266" s="124" t="s">
        <v>17</v>
      </c>
      <c r="B266" s="124" t="s">
        <v>22</v>
      </c>
      <c r="C266" s="124" t="s">
        <v>1057</v>
      </c>
      <c r="D266" s="124" t="s">
        <v>1053</v>
      </c>
      <c r="E266" s="150">
        <v>0</v>
      </c>
      <c r="F266" s="150">
        <v>0</v>
      </c>
      <c r="G266" s="150">
        <v>100</v>
      </c>
      <c r="H266" s="150">
        <v>100</v>
      </c>
      <c r="I266" s="150">
        <v>100</v>
      </c>
      <c r="J266" s="150">
        <v>100</v>
      </c>
      <c r="K266" s="445">
        <f t="shared" si="0"/>
        <v>0</v>
      </c>
      <c r="L266" s="445">
        <f t="shared" si="1"/>
        <v>0</v>
      </c>
      <c r="M266" s="445">
        <f t="shared" si="2"/>
        <v>0</v>
      </c>
    </row>
    <row r="267" spans="1:13" x14ac:dyDescent="0.3">
      <c r="A267" s="124" t="s">
        <v>17</v>
      </c>
      <c r="B267" s="146" t="s">
        <v>22</v>
      </c>
      <c r="C267" s="124" t="s">
        <v>1052</v>
      </c>
      <c r="D267" s="146" t="s">
        <v>1054</v>
      </c>
      <c r="E267" s="150">
        <v>34.142857142857146</v>
      </c>
      <c r="F267" s="150">
        <v>17.489795918367346</v>
      </c>
      <c r="G267" s="150">
        <v>46.428571428571431</v>
      </c>
      <c r="H267" s="150">
        <v>46.428571428571431</v>
      </c>
      <c r="I267" s="150">
        <v>12.285714285714285</v>
      </c>
      <c r="J267" s="150">
        <v>63.91836734693878</v>
      </c>
      <c r="K267" s="445">
        <f t="shared" si="0"/>
        <v>-53.571428571428569</v>
      </c>
      <c r="L267" s="445">
        <f t="shared" si="1"/>
        <v>-87.714285714285722</v>
      </c>
      <c r="M267" s="445">
        <f t="shared" si="2"/>
        <v>-36.08163265306122</v>
      </c>
    </row>
    <row r="268" spans="1:13" x14ac:dyDescent="0.3">
      <c r="A268" s="124" t="s">
        <v>17</v>
      </c>
      <c r="B268" s="124" t="s">
        <v>22</v>
      </c>
      <c r="C268" s="124" t="s">
        <v>1056</v>
      </c>
      <c r="D268" s="124" t="s">
        <v>1054</v>
      </c>
      <c r="E268" s="150">
        <v>20.897959183673468</v>
      </c>
      <c r="F268" s="150">
        <v>15.346938775510205</v>
      </c>
      <c r="G268" s="150">
        <v>66.428571428571431</v>
      </c>
      <c r="H268" s="150">
        <v>66.428571428571431</v>
      </c>
      <c r="I268" s="150">
        <v>45.530612244897966</v>
      </c>
      <c r="J268" s="150">
        <v>81.775510204081641</v>
      </c>
      <c r="K268" s="445">
        <f t="shared" si="0"/>
        <v>-33.571428571428569</v>
      </c>
      <c r="L268" s="445">
        <f t="shared" si="1"/>
        <v>-54.469387755102034</v>
      </c>
      <c r="M268" s="445">
        <f t="shared" si="2"/>
        <v>-18.224489795918359</v>
      </c>
    </row>
    <row r="269" spans="1:13" x14ac:dyDescent="0.3">
      <c r="A269" s="124" t="s">
        <v>17</v>
      </c>
      <c r="B269" s="124" t="s">
        <v>22</v>
      </c>
      <c r="C269" s="124" t="s">
        <v>1057</v>
      </c>
      <c r="D269" s="124" t="s">
        <v>1054</v>
      </c>
      <c r="E269" s="150">
        <v>19.328798185941046</v>
      </c>
      <c r="F269" s="150">
        <v>13.108843537414966</v>
      </c>
      <c r="G269" s="150">
        <v>89.285714285714292</v>
      </c>
      <c r="H269" s="150">
        <v>89.285714285714292</v>
      </c>
      <c r="I269" s="150">
        <v>69.956916099773252</v>
      </c>
      <c r="J269" s="150">
        <v>102.39455782312926</v>
      </c>
      <c r="K269" s="445">
        <f t="shared" si="0"/>
        <v>-10.714285714285708</v>
      </c>
      <c r="L269" s="445">
        <f t="shared" si="1"/>
        <v>-30.043083900226748</v>
      </c>
      <c r="M269" s="445">
        <f t="shared" si="2"/>
        <v>2.3945578231292615</v>
      </c>
    </row>
    <row r="270" spans="1:13" x14ac:dyDescent="0.3">
      <c r="A270" s="124" t="s">
        <v>17</v>
      </c>
      <c r="B270" s="124" t="s">
        <v>22</v>
      </c>
      <c r="C270" s="124" t="s">
        <v>1052</v>
      </c>
      <c r="D270" s="124" t="s">
        <v>1055</v>
      </c>
      <c r="E270" s="150">
        <v>35.020408163265309</v>
      </c>
      <c r="F270" s="150">
        <v>19.836734693877553</v>
      </c>
      <c r="G270" s="150">
        <v>38.571428571428569</v>
      </c>
      <c r="H270" s="150">
        <v>38.571428571428569</v>
      </c>
      <c r="I270" s="150">
        <v>3.5510204081632608</v>
      </c>
      <c r="J270" s="150">
        <v>58.408163265306122</v>
      </c>
      <c r="K270" s="445">
        <f t="shared" si="0"/>
        <v>-61.428571428571431</v>
      </c>
      <c r="L270" s="445">
        <f t="shared" si="1"/>
        <v>-96.448979591836746</v>
      </c>
      <c r="M270" s="445">
        <f t="shared" si="2"/>
        <v>-41.591836734693878</v>
      </c>
    </row>
    <row r="271" spans="1:13" x14ac:dyDescent="0.3">
      <c r="A271" s="124" t="s">
        <v>17</v>
      </c>
      <c r="B271" s="124" t="s">
        <v>22</v>
      </c>
      <c r="C271" s="124" t="s">
        <v>1056</v>
      </c>
      <c r="D271" s="124" t="s">
        <v>1055</v>
      </c>
      <c r="E271" s="150">
        <v>24.163265306122447</v>
      </c>
      <c r="F271" s="150">
        <v>20.993197278911563</v>
      </c>
      <c r="G271" s="150">
        <v>56.428571428571431</v>
      </c>
      <c r="H271" s="150">
        <v>56.428571428571431</v>
      </c>
      <c r="I271" s="150">
        <v>32.265306122448983</v>
      </c>
      <c r="J271" s="150">
        <v>77.421768707482997</v>
      </c>
      <c r="K271" s="445">
        <f t="shared" si="0"/>
        <v>-43.571428571428569</v>
      </c>
      <c r="L271" s="445">
        <f t="shared" si="1"/>
        <v>-67.734693877551024</v>
      </c>
      <c r="M271" s="445">
        <f t="shared" si="2"/>
        <v>-22.578231292517003</v>
      </c>
    </row>
    <row r="272" spans="1:13" x14ac:dyDescent="0.3">
      <c r="A272" s="124" t="s">
        <v>17</v>
      </c>
      <c r="B272" s="146" t="s">
        <v>22</v>
      </c>
      <c r="C272" s="146" t="s">
        <v>1057</v>
      </c>
      <c r="D272" s="146" t="s">
        <v>1055</v>
      </c>
      <c r="E272" s="148">
        <v>22.190476190476186</v>
      </c>
      <c r="F272" s="148">
        <v>28.69387755102041</v>
      </c>
      <c r="G272" s="148">
        <v>64.285714285714292</v>
      </c>
      <c r="H272" s="148">
        <v>64.285714285714292</v>
      </c>
      <c r="I272" s="148">
        <v>42.095238095238102</v>
      </c>
      <c r="J272" s="148">
        <v>92.979591836734699</v>
      </c>
      <c r="K272" s="445">
        <f t="shared" si="0"/>
        <v>-35.714285714285708</v>
      </c>
      <c r="L272" s="445">
        <f t="shared" si="1"/>
        <v>-57.904761904761898</v>
      </c>
      <c r="M272" s="445">
        <f t="shared" si="2"/>
        <v>-7.0204081632653015</v>
      </c>
    </row>
    <row r="273" spans="1:13" x14ac:dyDescent="0.3">
      <c r="A273" s="124" t="s">
        <v>17</v>
      </c>
      <c r="B273" s="124" t="s">
        <v>24</v>
      </c>
      <c r="C273" s="124" t="s">
        <v>1052</v>
      </c>
      <c r="D273" s="124" t="s">
        <v>1053</v>
      </c>
      <c r="E273" s="150">
        <v>26.009070294784578</v>
      </c>
      <c r="F273" s="150">
        <v>16.167800453514737</v>
      </c>
      <c r="G273" s="150">
        <v>62.857142857142854</v>
      </c>
      <c r="H273" s="150">
        <v>62.857142857142854</v>
      </c>
      <c r="I273" s="150">
        <v>36.848072562358276</v>
      </c>
      <c r="J273" s="150">
        <v>79.024943310657591</v>
      </c>
      <c r="K273" s="445">
        <f t="shared" si="0"/>
        <v>-37.142857142857146</v>
      </c>
      <c r="L273" s="445">
        <f t="shared" si="1"/>
        <v>-63.151927437641724</v>
      </c>
      <c r="M273" s="445">
        <f t="shared" si="2"/>
        <v>-20.975056689342409</v>
      </c>
    </row>
    <row r="274" spans="1:13" x14ac:dyDescent="0.3">
      <c r="A274" s="124" t="s">
        <v>17</v>
      </c>
      <c r="B274" s="124" t="s">
        <v>24</v>
      </c>
      <c r="C274" s="124" t="s">
        <v>1056</v>
      </c>
      <c r="D274" s="124" t="s">
        <v>1053</v>
      </c>
      <c r="E274" s="150">
        <v>14.297052154195011</v>
      </c>
      <c r="F274" s="150">
        <v>7.1088435374149652</v>
      </c>
      <c r="G274" s="150">
        <v>78.571428571428569</v>
      </c>
      <c r="H274" s="150">
        <v>78.571428571428569</v>
      </c>
      <c r="I274" s="150">
        <v>64.274376417233555</v>
      </c>
      <c r="J274" s="150">
        <v>85.680272108843539</v>
      </c>
      <c r="K274" s="445">
        <f t="shared" si="0"/>
        <v>-21.428571428571431</v>
      </c>
      <c r="L274" s="445">
        <f t="shared" si="1"/>
        <v>-35.725623582766445</v>
      </c>
      <c r="M274" s="445">
        <f t="shared" si="2"/>
        <v>-14.319727891156461</v>
      </c>
    </row>
    <row r="275" spans="1:13" x14ac:dyDescent="0.3">
      <c r="A275" s="124" t="s">
        <v>17</v>
      </c>
      <c r="B275" s="124" t="s">
        <v>24</v>
      </c>
      <c r="C275" s="124" t="s">
        <v>1057</v>
      </c>
      <c r="D275" s="124" t="s">
        <v>1053</v>
      </c>
      <c r="E275" s="150">
        <v>0</v>
      </c>
      <c r="F275" s="150">
        <v>0</v>
      </c>
      <c r="G275" s="150">
        <v>100</v>
      </c>
      <c r="H275" s="150">
        <v>100</v>
      </c>
      <c r="I275" s="150">
        <v>100</v>
      </c>
      <c r="J275" s="150">
        <v>100</v>
      </c>
      <c r="K275" s="445">
        <f t="shared" si="0"/>
        <v>0</v>
      </c>
      <c r="L275" s="445">
        <f t="shared" si="1"/>
        <v>0</v>
      </c>
      <c r="M275" s="445">
        <f t="shared" si="2"/>
        <v>0</v>
      </c>
    </row>
    <row r="276" spans="1:13" x14ac:dyDescent="0.3">
      <c r="A276" s="124" t="s">
        <v>17</v>
      </c>
      <c r="B276" s="146" t="s">
        <v>24</v>
      </c>
      <c r="C276" s="124" t="s">
        <v>1052</v>
      </c>
      <c r="D276" s="124" t="s">
        <v>1054</v>
      </c>
      <c r="E276" s="150">
        <v>29.863945578231291</v>
      </c>
      <c r="F276" s="150">
        <v>22.312925170068024</v>
      </c>
      <c r="G276" s="150">
        <v>47.857142857142854</v>
      </c>
      <c r="H276" s="150">
        <v>47.857142857142854</v>
      </c>
      <c r="I276" s="150">
        <v>17.993197278911563</v>
      </c>
      <c r="J276" s="150">
        <v>70.170068027210874</v>
      </c>
      <c r="K276" s="445">
        <f t="shared" si="0"/>
        <v>-52.142857142857146</v>
      </c>
      <c r="L276" s="445">
        <f t="shared" si="1"/>
        <v>-82.006802721088434</v>
      </c>
      <c r="M276" s="445">
        <f t="shared" si="2"/>
        <v>-29.829931972789126</v>
      </c>
    </row>
    <row r="277" spans="1:13" x14ac:dyDescent="0.3">
      <c r="A277" s="124" t="s">
        <v>17</v>
      </c>
      <c r="B277" s="124" t="s">
        <v>24</v>
      </c>
      <c r="C277" s="124" t="s">
        <v>1056</v>
      </c>
      <c r="D277" s="124" t="s">
        <v>1054</v>
      </c>
      <c r="E277" s="150">
        <v>23.095238095238095</v>
      </c>
      <c r="F277" s="150">
        <v>15.238095238095237</v>
      </c>
      <c r="G277" s="150">
        <v>72.857142857142861</v>
      </c>
      <c r="H277" s="150">
        <v>72.857142857142861</v>
      </c>
      <c r="I277" s="150">
        <v>49.761904761904766</v>
      </c>
      <c r="J277" s="150">
        <v>88.095238095238102</v>
      </c>
      <c r="K277" s="445">
        <f t="shared" si="0"/>
        <v>-27.142857142857139</v>
      </c>
      <c r="L277" s="445">
        <f t="shared" si="1"/>
        <v>-50.238095238095234</v>
      </c>
      <c r="M277" s="445">
        <f t="shared" si="2"/>
        <v>-11.904761904761898</v>
      </c>
    </row>
    <row r="278" spans="1:13" x14ac:dyDescent="0.3">
      <c r="A278" s="124" t="s">
        <v>17</v>
      </c>
      <c r="B278" s="124" t="s">
        <v>24</v>
      </c>
      <c r="C278" s="124" t="s">
        <v>1057</v>
      </c>
      <c r="D278" s="124" t="s">
        <v>1054</v>
      </c>
      <c r="E278" s="150">
        <v>14.285714285714283</v>
      </c>
      <c r="F278" s="150">
        <v>11.34920634920635</v>
      </c>
      <c r="G278" s="150">
        <v>87.857142857142861</v>
      </c>
      <c r="H278" s="150">
        <v>87.857142857142861</v>
      </c>
      <c r="I278" s="150">
        <v>73.571428571428584</v>
      </c>
      <c r="J278" s="150">
        <v>99.206349206349216</v>
      </c>
      <c r="K278" s="445">
        <f t="shared" si="0"/>
        <v>-12.142857142857139</v>
      </c>
      <c r="L278" s="445">
        <f t="shared" si="1"/>
        <v>-26.428571428571416</v>
      </c>
      <c r="M278" s="445">
        <f t="shared" si="2"/>
        <v>-0.79365079365078373</v>
      </c>
    </row>
    <row r="279" spans="1:13" x14ac:dyDescent="0.3">
      <c r="A279" s="124" t="s">
        <v>17</v>
      </c>
      <c r="B279" s="124" t="s">
        <v>24</v>
      </c>
      <c r="C279" s="124" t="s">
        <v>1052</v>
      </c>
      <c r="D279" s="124" t="s">
        <v>1055</v>
      </c>
      <c r="E279" s="150">
        <v>33.401360544217688</v>
      </c>
      <c r="F279" s="150">
        <v>20.408163265306122</v>
      </c>
      <c r="G279" s="150">
        <v>38.571428571428569</v>
      </c>
      <c r="H279" s="150">
        <v>38.571428571428569</v>
      </c>
      <c r="I279" s="150">
        <v>5.1700680272108812</v>
      </c>
      <c r="J279" s="150">
        <v>58.979591836734691</v>
      </c>
      <c r="K279" s="445">
        <f t="shared" si="0"/>
        <v>-61.428571428571431</v>
      </c>
      <c r="L279" s="445">
        <f t="shared" si="1"/>
        <v>-94.829931972789126</v>
      </c>
      <c r="M279" s="445">
        <f t="shared" si="2"/>
        <v>-41.020408163265309</v>
      </c>
    </row>
    <row r="280" spans="1:13" x14ac:dyDescent="0.3">
      <c r="A280" s="124" t="s">
        <v>17</v>
      </c>
      <c r="B280" s="124" t="s">
        <v>24</v>
      </c>
      <c r="C280" s="124" t="s">
        <v>1056</v>
      </c>
      <c r="D280" s="124" t="s">
        <v>1055</v>
      </c>
      <c r="E280" s="150">
        <v>27.020408163265305</v>
      </c>
      <c r="F280" s="150">
        <v>21.809523809523807</v>
      </c>
      <c r="G280" s="150">
        <v>60.714285714285715</v>
      </c>
      <c r="H280" s="150">
        <v>60.714285714285715</v>
      </c>
      <c r="I280" s="150">
        <v>33.693877551020407</v>
      </c>
      <c r="J280" s="150">
        <v>82.523809523809518</v>
      </c>
      <c r="K280" s="445">
        <f t="shared" si="0"/>
        <v>-39.285714285714285</v>
      </c>
      <c r="L280" s="445">
        <f t="shared" si="1"/>
        <v>-66.306122448979593</v>
      </c>
      <c r="M280" s="445">
        <f t="shared" si="2"/>
        <v>-17.476190476190482</v>
      </c>
    </row>
    <row r="281" spans="1:13" x14ac:dyDescent="0.3">
      <c r="A281" s="124" t="s">
        <v>17</v>
      </c>
      <c r="B281" s="146" t="s">
        <v>24</v>
      </c>
      <c r="C281" s="146" t="s">
        <v>1057</v>
      </c>
      <c r="D281" s="124" t="s">
        <v>1055</v>
      </c>
      <c r="E281" s="148">
        <v>27.142857142857142</v>
      </c>
      <c r="F281" s="150">
        <v>22.619047619047617</v>
      </c>
      <c r="G281" s="150">
        <v>71.428571428571431</v>
      </c>
      <c r="H281" s="150">
        <v>71.428571428571431</v>
      </c>
      <c r="I281" s="150">
        <v>44.285714285714292</v>
      </c>
      <c r="J281" s="150">
        <v>94.047619047619051</v>
      </c>
      <c r="K281" s="445">
        <f t="shared" si="0"/>
        <v>-28.571428571428569</v>
      </c>
      <c r="L281" s="445">
        <f t="shared" si="1"/>
        <v>-55.714285714285708</v>
      </c>
      <c r="M281" s="445">
        <f t="shared" si="2"/>
        <v>-5.952380952380949</v>
      </c>
    </row>
    <row r="282" spans="1:13" x14ac:dyDescent="0.3">
      <c r="A282" s="124" t="s">
        <v>17</v>
      </c>
      <c r="B282" s="124" t="s">
        <v>26</v>
      </c>
      <c r="C282" s="124" t="s">
        <v>1052</v>
      </c>
      <c r="D282" s="124" t="s">
        <v>1053</v>
      </c>
      <c r="E282" s="150">
        <v>28.185941043083897</v>
      </c>
      <c r="F282" s="150">
        <v>16.439909297052154</v>
      </c>
      <c r="G282" s="150">
        <v>64.285714285714292</v>
      </c>
      <c r="H282" s="150">
        <v>64.285714285714292</v>
      </c>
      <c r="I282" s="150">
        <v>36.099773242630391</v>
      </c>
      <c r="J282" s="150">
        <v>80.725623582766445</v>
      </c>
      <c r="K282" s="445">
        <f t="shared" si="0"/>
        <v>-35.714285714285708</v>
      </c>
      <c r="L282" s="445">
        <f t="shared" si="1"/>
        <v>-63.900226757369609</v>
      </c>
      <c r="M282" s="445">
        <f t="shared" si="2"/>
        <v>-19.274376417233555</v>
      </c>
    </row>
    <row r="283" spans="1:13" x14ac:dyDescent="0.3">
      <c r="A283" s="124" t="s">
        <v>17</v>
      </c>
      <c r="B283" s="124" t="s">
        <v>26</v>
      </c>
      <c r="C283" s="124" t="s">
        <v>1056</v>
      </c>
      <c r="D283" s="124" t="s">
        <v>1053</v>
      </c>
      <c r="E283" s="150">
        <v>16.746031746031743</v>
      </c>
      <c r="F283" s="150">
        <v>7.3809523809523796</v>
      </c>
      <c r="G283" s="150">
        <v>80</v>
      </c>
      <c r="H283" s="150">
        <v>80</v>
      </c>
      <c r="I283" s="150">
        <v>63.253968253968253</v>
      </c>
      <c r="J283" s="150">
        <v>87.38095238095238</v>
      </c>
      <c r="K283" s="445">
        <f t="shared" si="0"/>
        <v>-20</v>
      </c>
      <c r="L283" s="445">
        <f t="shared" si="1"/>
        <v>-36.746031746031747</v>
      </c>
      <c r="M283" s="445">
        <f t="shared" si="2"/>
        <v>-12.61904761904762</v>
      </c>
    </row>
    <row r="284" spans="1:13" x14ac:dyDescent="0.3">
      <c r="A284" s="124" t="s">
        <v>17</v>
      </c>
      <c r="B284" s="124" t="s">
        <v>26</v>
      </c>
      <c r="C284" s="124" t="s">
        <v>1057</v>
      </c>
      <c r="D284" s="124" t="s">
        <v>1053</v>
      </c>
      <c r="E284" s="150">
        <v>0</v>
      </c>
      <c r="F284" s="150">
        <v>0</v>
      </c>
      <c r="G284" s="150">
        <v>100</v>
      </c>
      <c r="H284" s="150">
        <v>100</v>
      </c>
      <c r="I284" s="150">
        <v>100</v>
      </c>
      <c r="J284" s="150">
        <v>100</v>
      </c>
      <c r="K284" s="445">
        <f t="shared" si="0"/>
        <v>0</v>
      </c>
      <c r="L284" s="445">
        <f t="shared" si="1"/>
        <v>0</v>
      </c>
      <c r="M284" s="445">
        <f t="shared" si="2"/>
        <v>0</v>
      </c>
    </row>
    <row r="285" spans="1:13" x14ac:dyDescent="0.3">
      <c r="A285" s="124" t="s">
        <v>17</v>
      </c>
      <c r="B285" s="146" t="s">
        <v>26</v>
      </c>
      <c r="C285" s="124" t="s">
        <v>1052</v>
      </c>
      <c r="D285" s="146" t="s">
        <v>1054</v>
      </c>
      <c r="E285" s="150">
        <v>35.578231292517003</v>
      </c>
      <c r="F285" s="150">
        <v>19.69387755102041</v>
      </c>
      <c r="G285" s="150">
        <v>50</v>
      </c>
      <c r="H285" s="150">
        <v>50</v>
      </c>
      <c r="I285" s="150">
        <v>14.421768707482997</v>
      </c>
      <c r="J285" s="150">
        <v>69.693877551020407</v>
      </c>
      <c r="K285" s="445">
        <f t="shared" si="0"/>
        <v>-50</v>
      </c>
      <c r="L285" s="445">
        <f t="shared" si="1"/>
        <v>-85.578231292517003</v>
      </c>
      <c r="M285" s="445">
        <f t="shared" si="2"/>
        <v>-30.306122448979593</v>
      </c>
    </row>
    <row r="286" spans="1:13" x14ac:dyDescent="0.3">
      <c r="A286" s="124" t="s">
        <v>17</v>
      </c>
      <c r="B286" s="124" t="s">
        <v>26</v>
      </c>
      <c r="C286" s="124" t="s">
        <v>1056</v>
      </c>
      <c r="D286" s="124" t="s">
        <v>1054</v>
      </c>
      <c r="E286" s="150">
        <v>23.857142857142858</v>
      </c>
      <c r="F286" s="150">
        <v>12.571428571428571</v>
      </c>
      <c r="G286" s="150">
        <v>72.857142857142861</v>
      </c>
      <c r="H286" s="150">
        <v>72.857142857142861</v>
      </c>
      <c r="I286" s="150">
        <v>49</v>
      </c>
      <c r="J286" s="150">
        <v>85.428571428571431</v>
      </c>
      <c r="K286" s="445">
        <f t="shared" si="0"/>
        <v>-27.142857142857139</v>
      </c>
      <c r="L286" s="445">
        <f t="shared" si="1"/>
        <v>-51</v>
      </c>
      <c r="M286" s="445">
        <f t="shared" si="2"/>
        <v>-14.571428571428569</v>
      </c>
    </row>
    <row r="287" spans="1:13" x14ac:dyDescent="0.3">
      <c r="A287" s="124" t="s">
        <v>17</v>
      </c>
      <c r="B287" s="124" t="s">
        <v>26</v>
      </c>
      <c r="C287" s="124" t="s">
        <v>1057</v>
      </c>
      <c r="D287" s="124" t="s">
        <v>1054</v>
      </c>
      <c r="E287" s="150">
        <v>13.968253968253967</v>
      </c>
      <c r="F287" s="150">
        <v>11.269841269841269</v>
      </c>
      <c r="G287" s="150">
        <v>87.857142857142861</v>
      </c>
      <c r="H287" s="150">
        <v>87.857142857142861</v>
      </c>
      <c r="I287" s="150">
        <v>73.8888888888889</v>
      </c>
      <c r="J287" s="150">
        <v>99.126984126984127</v>
      </c>
      <c r="K287" s="445">
        <f t="shared" si="0"/>
        <v>-12.142857142857139</v>
      </c>
      <c r="L287" s="445">
        <f t="shared" si="1"/>
        <v>-26.1111111111111</v>
      </c>
      <c r="M287" s="445">
        <f t="shared" si="2"/>
        <v>-0.87301587301587347</v>
      </c>
    </row>
    <row r="288" spans="1:13" x14ac:dyDescent="0.3">
      <c r="A288" s="124" t="s">
        <v>17</v>
      </c>
      <c r="B288" s="124" t="s">
        <v>26</v>
      </c>
      <c r="C288" s="124" t="s">
        <v>1052</v>
      </c>
      <c r="D288" s="124" t="s">
        <v>1055</v>
      </c>
      <c r="E288" s="150">
        <v>38.639455782312915</v>
      </c>
      <c r="F288" s="150">
        <v>18.979591836734695</v>
      </c>
      <c r="G288" s="150">
        <v>42.857142857142854</v>
      </c>
      <c r="H288" s="150">
        <v>42.857142857142854</v>
      </c>
      <c r="I288" s="150">
        <v>4.2176870748299393</v>
      </c>
      <c r="J288" s="150">
        <v>61.836734693877546</v>
      </c>
      <c r="K288" s="445">
        <f t="shared" si="0"/>
        <v>-57.142857142857146</v>
      </c>
      <c r="L288" s="445">
        <f t="shared" si="1"/>
        <v>-95.782312925170061</v>
      </c>
      <c r="M288" s="445">
        <f t="shared" si="2"/>
        <v>-38.163265306122454</v>
      </c>
    </row>
    <row r="289" spans="1:13" x14ac:dyDescent="0.3">
      <c r="A289" s="124" t="s">
        <v>17</v>
      </c>
      <c r="B289" s="124" t="s">
        <v>26</v>
      </c>
      <c r="C289" s="124" t="s">
        <v>1056</v>
      </c>
      <c r="D289" s="124" t="s">
        <v>1055</v>
      </c>
      <c r="E289" s="150">
        <v>25.571428571428573</v>
      </c>
      <c r="F289" s="150">
        <v>18.714285714285715</v>
      </c>
      <c r="G289" s="150">
        <v>58.571428571428569</v>
      </c>
      <c r="H289" s="150">
        <v>58.571428571428569</v>
      </c>
      <c r="I289" s="150">
        <v>33</v>
      </c>
      <c r="J289" s="150">
        <v>77.285714285714278</v>
      </c>
      <c r="K289" s="445">
        <f t="shared" si="0"/>
        <v>-41.428571428571431</v>
      </c>
      <c r="L289" s="445">
        <f t="shared" si="1"/>
        <v>-67</v>
      </c>
      <c r="M289" s="445">
        <f t="shared" si="2"/>
        <v>-22.714285714285722</v>
      </c>
    </row>
    <row r="290" spans="1:13" x14ac:dyDescent="0.3">
      <c r="A290" s="124" t="s">
        <v>17</v>
      </c>
      <c r="B290" s="146" t="s">
        <v>26</v>
      </c>
      <c r="C290" s="146" t="s">
        <v>1057</v>
      </c>
      <c r="D290" s="124" t="s">
        <v>1055</v>
      </c>
      <c r="E290" s="148">
        <v>27.714285714285715</v>
      </c>
      <c r="F290" s="150">
        <v>20.428571428571427</v>
      </c>
      <c r="G290" s="150">
        <v>70</v>
      </c>
      <c r="H290" s="150">
        <v>70</v>
      </c>
      <c r="I290" s="150">
        <v>42.285714285714285</v>
      </c>
      <c r="J290" s="150">
        <v>90.428571428571431</v>
      </c>
      <c r="K290" s="445">
        <f t="shared" si="0"/>
        <v>-30</v>
      </c>
      <c r="L290" s="445">
        <f t="shared" si="1"/>
        <v>-57.714285714285715</v>
      </c>
      <c r="M290" s="445">
        <f t="shared" si="2"/>
        <v>-9.5714285714285694</v>
      </c>
    </row>
    <row r="291" spans="1:13" x14ac:dyDescent="0.3">
      <c r="A291" s="124" t="s">
        <v>17</v>
      </c>
      <c r="B291" s="124" t="s">
        <v>29</v>
      </c>
      <c r="C291" s="124" t="s">
        <v>1052</v>
      </c>
      <c r="D291" s="124" t="s">
        <v>1053</v>
      </c>
      <c r="E291" s="150">
        <v>23.612244897959183</v>
      </c>
      <c r="F291" s="150">
        <v>10.836734693877551</v>
      </c>
      <c r="G291" s="150">
        <v>78.571428571428569</v>
      </c>
      <c r="H291" s="150">
        <v>78.571428571428569</v>
      </c>
      <c r="I291" s="150">
        <v>54.959183673469383</v>
      </c>
      <c r="J291" s="150">
        <v>89.408163265306115</v>
      </c>
      <c r="K291" s="445">
        <f t="shared" si="0"/>
        <v>-21.428571428571431</v>
      </c>
      <c r="L291" s="445">
        <f t="shared" si="1"/>
        <v>-45.040816326530617</v>
      </c>
      <c r="M291" s="445">
        <f t="shared" si="2"/>
        <v>-10.591836734693885</v>
      </c>
    </row>
    <row r="292" spans="1:13" x14ac:dyDescent="0.3">
      <c r="A292" s="124" t="s">
        <v>17</v>
      </c>
      <c r="B292" s="124" t="s">
        <v>29</v>
      </c>
      <c r="C292" s="124" t="s">
        <v>1056</v>
      </c>
      <c r="D292" s="124" t="s">
        <v>1053</v>
      </c>
      <c r="E292" s="150">
        <v>14.977777777777778</v>
      </c>
      <c r="F292" s="150">
        <v>3.6390022675736953</v>
      </c>
      <c r="G292" s="150">
        <v>90.428571428571431</v>
      </c>
      <c r="H292" s="150">
        <v>90.428571428571431</v>
      </c>
      <c r="I292" s="150">
        <v>75.450793650793656</v>
      </c>
      <c r="J292" s="150">
        <v>94.067573696145132</v>
      </c>
      <c r="K292" s="445">
        <f t="shared" si="0"/>
        <v>-9.5714285714285694</v>
      </c>
      <c r="L292" s="445">
        <f t="shared" si="1"/>
        <v>-24.549206349206344</v>
      </c>
      <c r="M292" s="445">
        <f t="shared" si="2"/>
        <v>-5.9324263038548679</v>
      </c>
    </row>
    <row r="293" spans="1:13" x14ac:dyDescent="0.3">
      <c r="A293" s="124" t="s">
        <v>17</v>
      </c>
      <c r="B293" s="124" t="s">
        <v>29</v>
      </c>
      <c r="C293" s="124" t="s">
        <v>1057</v>
      </c>
      <c r="D293" s="124" t="s">
        <v>1053</v>
      </c>
      <c r="E293" s="150">
        <v>0</v>
      </c>
      <c r="F293" s="150">
        <v>0</v>
      </c>
      <c r="G293" s="150">
        <v>100</v>
      </c>
      <c r="H293" s="150">
        <v>100</v>
      </c>
      <c r="I293" s="150">
        <v>100</v>
      </c>
      <c r="J293" s="150">
        <v>100</v>
      </c>
      <c r="K293" s="445">
        <f t="shared" si="0"/>
        <v>0</v>
      </c>
      <c r="L293" s="445">
        <f t="shared" si="1"/>
        <v>0</v>
      </c>
      <c r="M293" s="445">
        <f t="shared" si="2"/>
        <v>0</v>
      </c>
    </row>
    <row r="294" spans="1:13" x14ac:dyDescent="0.3">
      <c r="A294" s="124" t="s">
        <v>17</v>
      </c>
      <c r="B294" s="146" t="s">
        <v>29</v>
      </c>
      <c r="C294" s="124" t="s">
        <v>1052</v>
      </c>
      <c r="D294" s="124" t="s">
        <v>1054</v>
      </c>
      <c r="E294" s="150">
        <v>26.938775510204085</v>
      </c>
      <c r="F294" s="150">
        <v>19.591836734693878</v>
      </c>
      <c r="G294" s="150">
        <v>69.285714285714292</v>
      </c>
      <c r="H294" s="150">
        <v>69.285714285714292</v>
      </c>
      <c r="I294" s="150">
        <v>42.34693877551021</v>
      </c>
      <c r="J294" s="150">
        <v>88.877551020408163</v>
      </c>
      <c r="K294" s="445">
        <f t="shared" si="0"/>
        <v>-30.714285714285708</v>
      </c>
      <c r="L294" s="445">
        <f t="shared" si="1"/>
        <v>-57.65306122448979</v>
      </c>
      <c r="M294" s="445">
        <f t="shared" si="2"/>
        <v>-11.122448979591837</v>
      </c>
    </row>
    <row r="295" spans="1:13" x14ac:dyDescent="0.3">
      <c r="A295" s="124" t="s">
        <v>17</v>
      </c>
      <c r="B295" s="124" t="s">
        <v>29</v>
      </c>
      <c r="C295" s="124" t="s">
        <v>1056</v>
      </c>
      <c r="D295" s="124" t="s">
        <v>1054</v>
      </c>
      <c r="E295" s="150">
        <v>17.755102040816325</v>
      </c>
      <c r="F295" s="150">
        <v>9.387755102040817</v>
      </c>
      <c r="G295" s="150">
        <v>86.428571428571431</v>
      </c>
      <c r="H295" s="150">
        <v>86.428571428571431</v>
      </c>
      <c r="I295" s="150">
        <v>68.673469387755105</v>
      </c>
      <c r="J295" s="150">
        <v>95.816326530612244</v>
      </c>
      <c r="K295" s="445">
        <f t="shared" si="0"/>
        <v>-13.571428571428569</v>
      </c>
      <c r="L295" s="445">
        <f t="shared" si="1"/>
        <v>-31.326530612244895</v>
      </c>
      <c r="M295" s="445">
        <f t="shared" si="2"/>
        <v>-4.183673469387756</v>
      </c>
    </row>
    <row r="296" spans="1:13" x14ac:dyDescent="0.3">
      <c r="A296" s="124" t="s">
        <v>17</v>
      </c>
      <c r="B296" s="124" t="s">
        <v>29</v>
      </c>
      <c r="C296" s="124" t="s">
        <v>1057</v>
      </c>
      <c r="D296" s="124" t="s">
        <v>1054</v>
      </c>
      <c r="E296" s="150">
        <v>7.0861678004535156</v>
      </c>
      <c r="F296" s="150">
        <v>7.0861678004535156</v>
      </c>
      <c r="G296" s="150">
        <v>95</v>
      </c>
      <c r="H296" s="150">
        <v>95</v>
      </c>
      <c r="I296" s="150">
        <v>87.913832199546491</v>
      </c>
      <c r="J296" s="150">
        <v>102.08616780045351</v>
      </c>
      <c r="K296" s="445">
        <f t="shared" si="0"/>
        <v>-5</v>
      </c>
      <c r="L296" s="445">
        <f t="shared" si="1"/>
        <v>-12.086167800453509</v>
      </c>
      <c r="M296" s="445">
        <f t="shared" si="2"/>
        <v>2.0861678004535094</v>
      </c>
    </row>
    <row r="297" spans="1:13" x14ac:dyDescent="0.3">
      <c r="A297" s="124" t="s">
        <v>17</v>
      </c>
      <c r="B297" s="124" t="s">
        <v>29</v>
      </c>
      <c r="C297" s="124" t="s">
        <v>1052</v>
      </c>
      <c r="D297" s="124" t="s">
        <v>1055</v>
      </c>
      <c r="E297" s="150">
        <v>38.571428571428569</v>
      </c>
      <c r="F297" s="150">
        <v>12.619047619047619</v>
      </c>
      <c r="G297" s="150">
        <v>80</v>
      </c>
      <c r="H297" s="150">
        <v>80</v>
      </c>
      <c r="I297" s="150">
        <v>41.428571428571431</v>
      </c>
      <c r="J297" s="150">
        <v>92.61904761904762</v>
      </c>
      <c r="K297" s="445">
        <f t="shared" si="0"/>
        <v>-20</v>
      </c>
      <c r="L297" s="445">
        <f t="shared" si="1"/>
        <v>-58.571428571428569</v>
      </c>
      <c r="M297" s="445">
        <f t="shared" si="2"/>
        <v>-7.3809523809523796</v>
      </c>
    </row>
    <row r="298" spans="1:13" x14ac:dyDescent="0.3">
      <c r="A298" s="124" t="s">
        <v>17</v>
      </c>
      <c r="B298" s="146" t="s">
        <v>29</v>
      </c>
      <c r="C298" s="146" t="s">
        <v>1056</v>
      </c>
      <c r="D298" s="146" t="s">
        <v>1055</v>
      </c>
      <c r="E298" s="148">
        <v>22.448979591836736</v>
      </c>
      <c r="F298" s="148">
        <v>18.469387755102041</v>
      </c>
      <c r="G298" s="148">
        <v>91.428571428571431</v>
      </c>
      <c r="H298" s="148">
        <v>91.428571428571431</v>
      </c>
      <c r="I298" s="148">
        <v>68.979591836734699</v>
      </c>
      <c r="J298" s="148">
        <v>109.89795918367346</v>
      </c>
      <c r="K298" s="445">
        <f t="shared" si="0"/>
        <v>-8.5714285714285694</v>
      </c>
      <c r="L298" s="445">
        <f t="shared" si="1"/>
        <v>-31.020408163265301</v>
      </c>
      <c r="M298" s="445">
        <f t="shared" si="2"/>
        <v>9.8979591836734642</v>
      </c>
    </row>
    <row r="299" spans="1:13" x14ac:dyDescent="0.3">
      <c r="A299" s="124" t="s">
        <v>17</v>
      </c>
      <c r="B299" s="146" t="s">
        <v>29</v>
      </c>
      <c r="C299" s="146" t="s">
        <v>1057</v>
      </c>
      <c r="D299" s="124" t="s">
        <v>1055</v>
      </c>
      <c r="E299" s="148">
        <v>22.95918367346939</v>
      </c>
      <c r="F299" s="150">
        <v>10.816326530612246</v>
      </c>
      <c r="G299" s="150">
        <v>97.857142857142861</v>
      </c>
      <c r="H299" s="150">
        <v>97.857142857142861</v>
      </c>
      <c r="I299" s="150">
        <v>74.897959183673464</v>
      </c>
      <c r="J299" s="150">
        <v>108.67346938775511</v>
      </c>
      <c r="K299" s="445">
        <f t="shared" si="0"/>
        <v>-2.1428571428571388</v>
      </c>
      <c r="L299" s="445">
        <f t="shared" si="1"/>
        <v>-25.102040816326536</v>
      </c>
      <c r="M299" s="445">
        <f t="shared" si="2"/>
        <v>8.6734693877551052</v>
      </c>
    </row>
    <row r="300" spans="1:13" x14ac:dyDescent="0.3">
      <c r="A300" s="124" t="s">
        <v>17</v>
      </c>
      <c r="B300" s="124" t="s">
        <v>31</v>
      </c>
      <c r="C300" s="124" t="s">
        <v>1052</v>
      </c>
      <c r="D300" s="124" t="s">
        <v>1053</v>
      </c>
      <c r="E300" s="150">
        <v>25.26530612244898</v>
      </c>
      <c r="F300" s="150">
        <v>20.979591836734695</v>
      </c>
      <c r="G300" s="150">
        <v>57.142857142857146</v>
      </c>
      <c r="H300" s="150">
        <v>57.142857142857146</v>
      </c>
      <c r="I300" s="150">
        <v>31.877551020408166</v>
      </c>
      <c r="J300" s="150">
        <v>78.122448979591837</v>
      </c>
      <c r="K300" s="445">
        <f t="shared" si="0"/>
        <v>-42.857142857142854</v>
      </c>
      <c r="L300" s="445">
        <f t="shared" si="1"/>
        <v>-68.122448979591837</v>
      </c>
      <c r="M300" s="445">
        <f t="shared" si="2"/>
        <v>-21.877551020408163</v>
      </c>
    </row>
    <row r="301" spans="1:13" x14ac:dyDescent="0.3">
      <c r="A301" s="124" t="s">
        <v>17</v>
      </c>
      <c r="B301" s="124" t="s">
        <v>31</v>
      </c>
      <c r="C301" s="124" t="s">
        <v>1056</v>
      </c>
      <c r="D301" s="124" t="s">
        <v>1053</v>
      </c>
      <c r="E301" s="150">
        <v>19.063492063492067</v>
      </c>
      <c r="F301" s="150">
        <v>15.063492063492063</v>
      </c>
      <c r="G301" s="150">
        <v>83.571428571428569</v>
      </c>
      <c r="H301" s="150">
        <v>83.571428571428569</v>
      </c>
      <c r="I301" s="150">
        <v>64.507936507936506</v>
      </c>
      <c r="J301" s="150">
        <v>98.634920634920633</v>
      </c>
      <c r="K301" s="445">
        <f t="shared" si="0"/>
        <v>-16.428571428571431</v>
      </c>
      <c r="L301" s="445">
        <f t="shared" si="1"/>
        <v>-35.492063492063494</v>
      </c>
      <c r="M301" s="445">
        <f t="shared" si="2"/>
        <v>-1.3650793650793673</v>
      </c>
    </row>
    <row r="302" spans="1:13" x14ac:dyDescent="0.3">
      <c r="A302" s="124" t="s">
        <v>17</v>
      </c>
      <c r="B302" s="124" t="s">
        <v>31</v>
      </c>
      <c r="C302" s="124" t="s">
        <v>1057</v>
      </c>
      <c r="D302" s="124" t="s">
        <v>1053</v>
      </c>
      <c r="E302" s="150">
        <v>0</v>
      </c>
      <c r="F302" s="150">
        <v>0</v>
      </c>
      <c r="G302" s="150">
        <v>100</v>
      </c>
      <c r="H302" s="150">
        <v>100</v>
      </c>
      <c r="I302" s="150">
        <v>100</v>
      </c>
      <c r="J302" s="150">
        <v>100</v>
      </c>
      <c r="K302" s="445">
        <f t="shared" si="0"/>
        <v>0</v>
      </c>
      <c r="L302" s="445">
        <f t="shared" si="1"/>
        <v>0</v>
      </c>
      <c r="M302" s="445">
        <f t="shared" si="2"/>
        <v>0</v>
      </c>
    </row>
    <row r="303" spans="1:13" x14ac:dyDescent="0.3">
      <c r="A303" s="124" t="s">
        <v>17</v>
      </c>
      <c r="B303" s="146" t="s">
        <v>31</v>
      </c>
      <c r="C303" s="124" t="s">
        <v>1052</v>
      </c>
      <c r="D303" s="146" t="s">
        <v>1054</v>
      </c>
      <c r="E303" s="150">
        <v>29.020408163265305</v>
      </c>
      <c r="F303" s="150">
        <v>26.979591836734695</v>
      </c>
      <c r="G303" s="150">
        <v>50</v>
      </c>
      <c r="H303" s="150">
        <v>50</v>
      </c>
      <c r="I303" s="150">
        <v>20.979591836734695</v>
      </c>
      <c r="J303" s="150">
        <v>76.979591836734699</v>
      </c>
      <c r="K303" s="445">
        <f t="shared" si="0"/>
        <v>-50</v>
      </c>
      <c r="L303" s="445">
        <f t="shared" si="1"/>
        <v>-79.020408163265301</v>
      </c>
      <c r="M303" s="445">
        <f t="shared" si="2"/>
        <v>-23.020408163265301</v>
      </c>
    </row>
    <row r="304" spans="1:13" x14ac:dyDescent="0.3">
      <c r="A304" s="124" t="s">
        <v>17</v>
      </c>
      <c r="B304" s="124" t="s">
        <v>31</v>
      </c>
      <c r="C304" s="124" t="s">
        <v>1056</v>
      </c>
      <c r="D304" s="124" t="s">
        <v>1054</v>
      </c>
      <c r="E304" s="150">
        <v>22.122448979591837</v>
      </c>
      <c r="F304" s="150">
        <v>21.408163265306122</v>
      </c>
      <c r="G304" s="150">
        <v>75</v>
      </c>
      <c r="H304" s="150">
        <v>75</v>
      </c>
      <c r="I304" s="150">
        <v>52.877551020408163</v>
      </c>
      <c r="J304" s="150">
        <v>96.408163265306115</v>
      </c>
      <c r="K304" s="445">
        <f t="shared" si="0"/>
        <v>-25</v>
      </c>
      <c r="L304" s="445">
        <f t="shared" si="1"/>
        <v>-47.122448979591837</v>
      </c>
      <c r="M304" s="445">
        <f t="shared" si="2"/>
        <v>-3.5918367346938851</v>
      </c>
    </row>
    <row r="305" spans="1:13" x14ac:dyDescent="0.3">
      <c r="A305" s="124" t="s">
        <v>17</v>
      </c>
      <c r="B305" s="124" t="s">
        <v>31</v>
      </c>
      <c r="C305" s="124" t="s">
        <v>1057</v>
      </c>
      <c r="D305" s="124" t="s">
        <v>1054</v>
      </c>
      <c r="E305" s="150">
        <v>21.185941043083904</v>
      </c>
      <c r="F305" s="150">
        <v>12.455782312925169</v>
      </c>
      <c r="G305" s="150">
        <v>92.142857142857139</v>
      </c>
      <c r="H305" s="150">
        <v>92.142857142857139</v>
      </c>
      <c r="I305" s="150">
        <v>70.956916099773238</v>
      </c>
      <c r="J305" s="150">
        <v>104.5986394557823</v>
      </c>
      <c r="K305" s="445">
        <f t="shared" si="0"/>
        <v>-7.8571428571428612</v>
      </c>
      <c r="L305" s="445">
        <f t="shared" si="1"/>
        <v>-29.043083900226762</v>
      </c>
      <c r="M305" s="445">
        <f t="shared" si="2"/>
        <v>4.5986394557823047</v>
      </c>
    </row>
    <row r="306" spans="1:13" x14ac:dyDescent="0.3">
      <c r="A306" s="124" t="s">
        <v>17</v>
      </c>
      <c r="B306" s="124" t="s">
        <v>31</v>
      </c>
      <c r="C306" s="124" t="s">
        <v>1052</v>
      </c>
      <c r="D306" s="124" t="s">
        <v>1055</v>
      </c>
      <c r="E306" s="150">
        <v>31.639455782312925</v>
      </c>
      <c r="F306" s="150">
        <v>34.530612244897959</v>
      </c>
      <c r="G306" s="150">
        <v>44.285714285714285</v>
      </c>
      <c r="H306" s="150">
        <v>44.285714285714285</v>
      </c>
      <c r="I306" s="150">
        <v>12.646258503401359</v>
      </c>
      <c r="J306" s="150">
        <v>78.816326530612244</v>
      </c>
      <c r="K306" s="445">
        <f t="shared" si="0"/>
        <v>-55.714285714285715</v>
      </c>
      <c r="L306" s="445">
        <f t="shared" si="1"/>
        <v>-87.353741496598644</v>
      </c>
      <c r="M306" s="445">
        <f t="shared" si="2"/>
        <v>-21.183673469387756</v>
      </c>
    </row>
    <row r="307" spans="1:13" x14ac:dyDescent="0.3">
      <c r="A307" s="124" t="s">
        <v>17</v>
      </c>
      <c r="B307" s="124" t="s">
        <v>31</v>
      </c>
      <c r="C307" s="124" t="s">
        <v>1056</v>
      </c>
      <c r="D307" s="124" t="s">
        <v>1055</v>
      </c>
      <c r="E307" s="150">
        <v>34.836734693877553</v>
      </c>
      <c r="F307" s="150">
        <v>32.428571428571431</v>
      </c>
      <c r="G307" s="150">
        <v>62.857142857142854</v>
      </c>
      <c r="H307" s="150">
        <v>62.857142857142854</v>
      </c>
      <c r="I307" s="150">
        <v>28.020408163265301</v>
      </c>
      <c r="J307" s="150">
        <v>95.285714285714278</v>
      </c>
      <c r="K307" s="445">
        <f t="shared" si="0"/>
        <v>-37.142857142857146</v>
      </c>
      <c r="L307" s="445">
        <f t="shared" si="1"/>
        <v>-71.979591836734699</v>
      </c>
      <c r="M307" s="445">
        <f t="shared" si="2"/>
        <v>-4.7142857142857224</v>
      </c>
    </row>
    <row r="308" spans="1:13" x14ac:dyDescent="0.3">
      <c r="A308" s="124" t="s">
        <v>17</v>
      </c>
      <c r="B308" s="146" t="s">
        <v>31</v>
      </c>
      <c r="C308" s="146" t="s">
        <v>1057</v>
      </c>
      <c r="D308" s="124" t="s">
        <v>1055</v>
      </c>
      <c r="E308" s="148">
        <v>26.741496598639454</v>
      </c>
      <c r="F308" s="150">
        <v>31.435374149659861</v>
      </c>
      <c r="G308" s="150">
        <v>75</v>
      </c>
      <c r="H308" s="150">
        <v>75</v>
      </c>
      <c r="I308" s="150">
        <v>48.258503401360542</v>
      </c>
      <c r="J308" s="150">
        <v>106.43537414965986</v>
      </c>
      <c r="K308" s="445">
        <f t="shared" si="0"/>
        <v>-25</v>
      </c>
      <c r="L308" s="445">
        <f t="shared" si="1"/>
        <v>-51.741496598639458</v>
      </c>
      <c r="M308" s="445">
        <f t="shared" si="2"/>
        <v>6.4353741496598644</v>
      </c>
    </row>
    <row r="309" spans="1:13" x14ac:dyDescent="0.3">
      <c r="A309" s="124" t="s">
        <v>17</v>
      </c>
      <c r="B309" s="124" t="s">
        <v>34</v>
      </c>
      <c r="C309" s="124" t="s">
        <v>1052</v>
      </c>
      <c r="D309" s="124" t="s">
        <v>1053</v>
      </c>
      <c r="E309" s="150">
        <v>23.992063492063494</v>
      </c>
      <c r="F309" s="150">
        <v>14.793650793650793</v>
      </c>
      <c r="G309" s="150">
        <v>64.166666666666671</v>
      </c>
      <c r="H309" s="150">
        <v>64.166666666666671</v>
      </c>
      <c r="I309" s="150">
        <v>40.174603174603178</v>
      </c>
      <c r="J309" s="150">
        <v>78.960317460317469</v>
      </c>
      <c r="K309" s="445">
        <f t="shared" si="0"/>
        <v>-35.833333333333329</v>
      </c>
      <c r="L309" s="445">
        <f t="shared" si="1"/>
        <v>-59.825396825396822</v>
      </c>
      <c r="M309" s="445">
        <f t="shared" si="2"/>
        <v>-21.039682539682531</v>
      </c>
    </row>
    <row r="310" spans="1:13" x14ac:dyDescent="0.3">
      <c r="A310" s="124" t="s">
        <v>17</v>
      </c>
      <c r="B310" s="124" t="s">
        <v>34</v>
      </c>
      <c r="C310" s="124" t="s">
        <v>1056</v>
      </c>
      <c r="D310" s="124" t="s">
        <v>1053</v>
      </c>
      <c r="E310" s="150">
        <v>20.37037037037037</v>
      </c>
      <c r="F310" s="150">
        <v>8.8888888888888875</v>
      </c>
      <c r="G310" s="150">
        <v>85</v>
      </c>
      <c r="H310" s="150">
        <v>85</v>
      </c>
      <c r="I310" s="150">
        <v>64.629629629629633</v>
      </c>
      <c r="J310" s="150">
        <v>93.888888888888886</v>
      </c>
      <c r="K310" s="445">
        <f t="shared" si="0"/>
        <v>-15</v>
      </c>
      <c r="L310" s="445">
        <f t="shared" si="1"/>
        <v>-35.370370370370367</v>
      </c>
      <c r="M310" s="445">
        <f t="shared" si="2"/>
        <v>-6.1111111111111143</v>
      </c>
    </row>
    <row r="311" spans="1:13" x14ac:dyDescent="0.3">
      <c r="A311" s="124" t="s">
        <v>17</v>
      </c>
      <c r="B311" s="124" t="s">
        <v>34</v>
      </c>
      <c r="C311" s="124" t="s">
        <v>1057</v>
      </c>
      <c r="D311" s="124" t="s">
        <v>1053</v>
      </c>
      <c r="E311" s="150">
        <v>0</v>
      </c>
      <c r="F311" s="150">
        <v>0</v>
      </c>
      <c r="G311" s="150">
        <v>100</v>
      </c>
      <c r="H311" s="150">
        <v>100</v>
      </c>
      <c r="I311" s="150">
        <v>100</v>
      </c>
      <c r="J311" s="150">
        <v>100</v>
      </c>
      <c r="K311" s="445">
        <f t="shared" si="0"/>
        <v>0</v>
      </c>
      <c r="L311" s="445">
        <f t="shared" si="1"/>
        <v>0</v>
      </c>
      <c r="M311" s="445">
        <f t="shared" si="2"/>
        <v>0</v>
      </c>
    </row>
    <row r="312" spans="1:13" x14ac:dyDescent="0.3">
      <c r="A312" s="124" t="s">
        <v>17</v>
      </c>
      <c r="B312" s="146" t="s">
        <v>34</v>
      </c>
      <c r="C312" s="124" t="s">
        <v>1052</v>
      </c>
      <c r="D312" s="146" t="s">
        <v>1054</v>
      </c>
      <c r="E312" s="150">
        <v>26.111111111111114</v>
      </c>
      <c r="F312" s="150">
        <v>20.277777777777775</v>
      </c>
      <c r="G312" s="150">
        <v>57.5</v>
      </c>
      <c r="H312" s="150">
        <v>57.5</v>
      </c>
      <c r="I312" s="150">
        <v>31.388888888888886</v>
      </c>
      <c r="J312" s="150">
        <v>77.777777777777771</v>
      </c>
      <c r="K312" s="445">
        <f t="shared" si="0"/>
        <v>-42.5</v>
      </c>
      <c r="L312" s="445">
        <f t="shared" si="1"/>
        <v>-68.611111111111114</v>
      </c>
      <c r="M312" s="445">
        <f t="shared" si="2"/>
        <v>-22.222222222222229</v>
      </c>
    </row>
    <row r="313" spans="1:13" x14ac:dyDescent="0.3">
      <c r="A313" s="124" t="s">
        <v>17</v>
      </c>
      <c r="B313" s="124" t="s">
        <v>34</v>
      </c>
      <c r="C313" s="124" t="s">
        <v>1056</v>
      </c>
      <c r="D313" s="124" t="s">
        <v>1054</v>
      </c>
      <c r="E313" s="150">
        <v>21.746031746031747</v>
      </c>
      <c r="F313" s="150">
        <v>13.412698412698411</v>
      </c>
      <c r="G313" s="150">
        <v>78.333333333333329</v>
      </c>
      <c r="H313" s="150">
        <v>78.333333333333329</v>
      </c>
      <c r="I313" s="150">
        <v>56.587301587301582</v>
      </c>
      <c r="J313" s="150">
        <v>91.746031746031747</v>
      </c>
      <c r="K313" s="445">
        <f t="shared" si="0"/>
        <v>-21.666666666666671</v>
      </c>
      <c r="L313" s="445">
        <f t="shared" si="1"/>
        <v>-43.412698412698418</v>
      </c>
      <c r="M313" s="445">
        <f t="shared" si="2"/>
        <v>-8.2539682539682531</v>
      </c>
    </row>
    <row r="314" spans="1:13" x14ac:dyDescent="0.3">
      <c r="A314" s="124" t="s">
        <v>17</v>
      </c>
      <c r="B314" s="124" t="s">
        <v>34</v>
      </c>
      <c r="C314" s="124" t="s">
        <v>1057</v>
      </c>
      <c r="D314" s="124" t="s">
        <v>1054</v>
      </c>
      <c r="E314" s="150">
        <v>24.457671957671959</v>
      </c>
      <c r="F314" s="150">
        <v>9.21957671957672</v>
      </c>
      <c r="G314" s="150">
        <v>94.166666666666671</v>
      </c>
      <c r="H314" s="150">
        <v>94.166666666666671</v>
      </c>
      <c r="I314" s="150">
        <v>69.708994708994709</v>
      </c>
      <c r="J314" s="150">
        <v>103.38624338624339</v>
      </c>
      <c r="K314" s="445">
        <f t="shared" si="0"/>
        <v>-5.8333333333333286</v>
      </c>
      <c r="L314" s="445">
        <f t="shared" si="1"/>
        <v>-30.291005291005291</v>
      </c>
      <c r="M314" s="445">
        <f t="shared" si="2"/>
        <v>3.3862433862433932</v>
      </c>
    </row>
    <row r="315" spans="1:13" x14ac:dyDescent="0.3">
      <c r="A315" s="124" t="s">
        <v>17</v>
      </c>
      <c r="B315" s="124" t="s">
        <v>34</v>
      </c>
      <c r="C315" s="124" t="s">
        <v>1052</v>
      </c>
      <c r="D315" s="124" t="s">
        <v>1055</v>
      </c>
      <c r="E315" s="150">
        <v>25</v>
      </c>
      <c r="F315" s="150">
        <v>24.603174603174605</v>
      </c>
      <c r="G315" s="150">
        <v>53.333333333333336</v>
      </c>
      <c r="H315" s="150">
        <v>53.333333333333336</v>
      </c>
      <c r="I315" s="150">
        <v>28.333333333333336</v>
      </c>
      <c r="J315" s="150">
        <v>77.936507936507937</v>
      </c>
      <c r="K315" s="445">
        <f t="shared" si="0"/>
        <v>-46.666666666666664</v>
      </c>
      <c r="L315" s="445">
        <f t="shared" si="1"/>
        <v>-71.666666666666657</v>
      </c>
      <c r="M315" s="445">
        <f t="shared" si="2"/>
        <v>-22.063492063492063</v>
      </c>
    </row>
    <row r="316" spans="1:13" x14ac:dyDescent="0.3">
      <c r="A316" s="124" t="s">
        <v>17</v>
      </c>
      <c r="B316" s="124" t="s">
        <v>34</v>
      </c>
      <c r="C316" s="124" t="s">
        <v>1056</v>
      </c>
      <c r="D316" s="124" t="s">
        <v>1055</v>
      </c>
      <c r="E316" s="150">
        <v>33.333333333333336</v>
      </c>
      <c r="F316" s="150">
        <v>17.698412698412696</v>
      </c>
      <c r="G316" s="150">
        <v>75.833333333333329</v>
      </c>
      <c r="H316" s="150">
        <v>75.833333333333329</v>
      </c>
      <c r="I316" s="150">
        <v>42.499999999999993</v>
      </c>
      <c r="J316" s="150">
        <v>93.531746031746025</v>
      </c>
      <c r="K316" s="445">
        <f t="shared" si="0"/>
        <v>-24.166666666666671</v>
      </c>
      <c r="L316" s="445">
        <f t="shared" si="1"/>
        <v>-57.500000000000007</v>
      </c>
      <c r="M316" s="445">
        <f t="shared" si="2"/>
        <v>-6.4682539682539755</v>
      </c>
    </row>
    <row r="317" spans="1:13" x14ac:dyDescent="0.3">
      <c r="A317" s="124" t="s">
        <v>17</v>
      </c>
      <c r="B317" s="146" t="s">
        <v>34</v>
      </c>
      <c r="C317" s="146" t="s">
        <v>1057</v>
      </c>
      <c r="D317" s="124" t="s">
        <v>1055</v>
      </c>
      <c r="E317" s="148">
        <v>26.666666666666668</v>
      </c>
      <c r="F317" s="150">
        <v>24.285714285714288</v>
      </c>
      <c r="G317" s="150">
        <v>83.333333333333329</v>
      </c>
      <c r="H317" s="150">
        <v>83.333333333333329</v>
      </c>
      <c r="I317" s="150">
        <v>56.666666666666657</v>
      </c>
      <c r="J317" s="150">
        <v>107.61904761904762</v>
      </c>
      <c r="K317" s="445">
        <f t="shared" si="0"/>
        <v>-16.666666666666671</v>
      </c>
      <c r="L317" s="445">
        <f t="shared" si="1"/>
        <v>-43.333333333333343</v>
      </c>
      <c r="M317" s="445">
        <f t="shared" si="2"/>
        <v>7.6190476190476204</v>
      </c>
    </row>
    <row r="318" spans="1:13" x14ac:dyDescent="0.3">
      <c r="A318" s="124" t="s">
        <v>17</v>
      </c>
      <c r="B318" s="124" t="s">
        <v>36</v>
      </c>
      <c r="C318" s="124" t="s">
        <v>1052</v>
      </c>
      <c r="D318" s="124" t="s">
        <v>1053</v>
      </c>
      <c r="E318" s="150">
        <v>18.285714285714285</v>
      </c>
      <c r="F318" s="150">
        <v>14</v>
      </c>
      <c r="G318" s="150">
        <v>73.571428571428569</v>
      </c>
      <c r="H318" s="150">
        <v>73.571428571428569</v>
      </c>
      <c r="I318" s="150">
        <v>55.285714285714285</v>
      </c>
      <c r="J318" s="150">
        <v>87.571428571428569</v>
      </c>
      <c r="K318" s="445">
        <f t="shared" si="0"/>
        <v>-26.428571428571431</v>
      </c>
      <c r="L318" s="445">
        <f t="shared" si="1"/>
        <v>-44.714285714285715</v>
      </c>
      <c r="M318" s="445">
        <f t="shared" si="2"/>
        <v>-12.428571428571431</v>
      </c>
    </row>
    <row r="319" spans="1:13" x14ac:dyDescent="0.3">
      <c r="A319" s="124" t="s">
        <v>17</v>
      </c>
      <c r="B319" s="124" t="s">
        <v>36</v>
      </c>
      <c r="C319" s="124" t="s">
        <v>1056</v>
      </c>
      <c r="D319" s="124" t="s">
        <v>1053</v>
      </c>
      <c r="E319" s="150">
        <v>15.396825396825395</v>
      </c>
      <c r="F319" s="150">
        <v>9.2063492063492056</v>
      </c>
      <c r="G319" s="150">
        <v>87.857142857142861</v>
      </c>
      <c r="H319" s="150">
        <v>87.857142857142861</v>
      </c>
      <c r="I319" s="150">
        <v>72.460317460317469</v>
      </c>
      <c r="J319" s="150">
        <v>97.063492063492063</v>
      </c>
      <c r="K319" s="445">
        <f t="shared" ref="K319:K382" si="3">0-(100-H319)</f>
        <v>-12.142857142857139</v>
      </c>
      <c r="L319" s="445">
        <f t="shared" ref="L319:L382" si="4">0-(100-I319)</f>
        <v>-27.539682539682531</v>
      </c>
      <c r="M319" s="445">
        <f t="shared" ref="M319:M382" si="5">0-(100-J319)</f>
        <v>-2.9365079365079367</v>
      </c>
    </row>
    <row r="320" spans="1:13" x14ac:dyDescent="0.3">
      <c r="A320" s="124" t="s">
        <v>17</v>
      </c>
      <c r="B320" s="124" t="s">
        <v>36</v>
      </c>
      <c r="C320" s="124" t="s">
        <v>1057</v>
      </c>
      <c r="D320" s="124" t="s">
        <v>1053</v>
      </c>
      <c r="E320" s="150">
        <v>0</v>
      </c>
      <c r="F320" s="150">
        <v>0</v>
      </c>
      <c r="G320" s="150">
        <v>100</v>
      </c>
      <c r="H320" s="150">
        <v>100</v>
      </c>
      <c r="I320" s="150">
        <v>100</v>
      </c>
      <c r="J320" s="150">
        <v>100</v>
      </c>
      <c r="K320" s="445">
        <f t="shared" si="3"/>
        <v>0</v>
      </c>
      <c r="L320" s="445">
        <f t="shared" si="4"/>
        <v>0</v>
      </c>
      <c r="M320" s="445">
        <f t="shared" si="5"/>
        <v>0</v>
      </c>
    </row>
    <row r="321" spans="1:13" x14ac:dyDescent="0.3">
      <c r="A321" s="124" t="s">
        <v>17</v>
      </c>
      <c r="B321" s="146" t="s">
        <v>36</v>
      </c>
      <c r="C321" s="124" t="s">
        <v>1052</v>
      </c>
      <c r="D321" s="124" t="s">
        <v>1054</v>
      </c>
      <c r="E321" s="150">
        <v>21.836734693877553</v>
      </c>
      <c r="F321" s="150">
        <v>21.428571428571423</v>
      </c>
      <c r="G321" s="150">
        <v>60</v>
      </c>
      <c r="H321" s="150">
        <v>60</v>
      </c>
      <c r="I321" s="150">
        <v>38.163265306122447</v>
      </c>
      <c r="J321" s="150">
        <v>81.428571428571416</v>
      </c>
      <c r="K321" s="445">
        <f t="shared" si="3"/>
        <v>-40</v>
      </c>
      <c r="L321" s="445">
        <f t="shared" si="4"/>
        <v>-61.836734693877553</v>
      </c>
      <c r="M321" s="445">
        <f t="shared" si="5"/>
        <v>-18.571428571428584</v>
      </c>
    </row>
    <row r="322" spans="1:13" x14ac:dyDescent="0.3">
      <c r="A322" s="124" t="s">
        <v>17</v>
      </c>
      <c r="B322" s="124" t="s">
        <v>36</v>
      </c>
      <c r="C322" s="124" t="s">
        <v>1056</v>
      </c>
      <c r="D322" s="124" t="s">
        <v>1054</v>
      </c>
      <c r="E322" s="150">
        <v>19.342403628117914</v>
      </c>
      <c r="F322" s="150">
        <v>12.585034013605442</v>
      </c>
      <c r="G322" s="150">
        <v>81.428571428571431</v>
      </c>
      <c r="H322" s="150">
        <v>81.428571428571431</v>
      </c>
      <c r="I322" s="150">
        <v>62.086167800453516</v>
      </c>
      <c r="J322" s="150">
        <v>94.013605442176868</v>
      </c>
      <c r="K322" s="445">
        <f t="shared" si="3"/>
        <v>-18.571428571428569</v>
      </c>
      <c r="L322" s="445">
        <f t="shared" si="4"/>
        <v>-37.913832199546484</v>
      </c>
      <c r="M322" s="445">
        <f t="shared" si="5"/>
        <v>-5.9863945578231323</v>
      </c>
    </row>
    <row r="323" spans="1:13" x14ac:dyDescent="0.3">
      <c r="A323" s="124" t="s">
        <v>17</v>
      </c>
      <c r="B323" s="124" t="s">
        <v>36</v>
      </c>
      <c r="C323" s="124" t="s">
        <v>1057</v>
      </c>
      <c r="D323" s="124" t="s">
        <v>1054</v>
      </c>
      <c r="E323" s="150">
        <v>17.01814058956916</v>
      </c>
      <c r="F323" s="150">
        <v>5.4988662131519277</v>
      </c>
      <c r="G323" s="150">
        <v>95.714285714285708</v>
      </c>
      <c r="H323" s="150">
        <v>95.714285714285708</v>
      </c>
      <c r="I323" s="150">
        <v>78.696145124716551</v>
      </c>
      <c r="J323" s="150">
        <v>101.21315192743764</v>
      </c>
      <c r="K323" s="445">
        <f t="shared" si="3"/>
        <v>-4.2857142857142918</v>
      </c>
      <c r="L323" s="445">
        <f t="shared" si="4"/>
        <v>-21.303854875283449</v>
      </c>
      <c r="M323" s="445">
        <f t="shared" si="5"/>
        <v>1.2131519274376359</v>
      </c>
    </row>
    <row r="324" spans="1:13" x14ac:dyDescent="0.3">
      <c r="A324" s="124" t="s">
        <v>17</v>
      </c>
      <c r="B324" s="124" t="s">
        <v>36</v>
      </c>
      <c r="C324" s="124" t="s">
        <v>1052</v>
      </c>
      <c r="D324" s="124" t="s">
        <v>1055</v>
      </c>
      <c r="E324" s="150">
        <v>37.346938775510203</v>
      </c>
      <c r="F324" s="150">
        <v>20.680272108843536</v>
      </c>
      <c r="G324" s="150">
        <v>59.285714285714285</v>
      </c>
      <c r="H324" s="150">
        <v>59.285714285714285</v>
      </c>
      <c r="I324" s="150">
        <v>21.938775510204081</v>
      </c>
      <c r="J324" s="150">
        <v>79.965986394557817</v>
      </c>
      <c r="K324" s="445">
        <f t="shared" si="3"/>
        <v>-40.714285714285715</v>
      </c>
      <c r="L324" s="445">
        <f t="shared" si="4"/>
        <v>-78.061224489795919</v>
      </c>
      <c r="M324" s="445">
        <f t="shared" si="5"/>
        <v>-20.034013605442183</v>
      </c>
    </row>
    <row r="325" spans="1:13" x14ac:dyDescent="0.3">
      <c r="A325" s="124" t="s">
        <v>17</v>
      </c>
      <c r="B325" s="124" t="s">
        <v>36</v>
      </c>
      <c r="C325" s="124" t="s">
        <v>1056</v>
      </c>
      <c r="D325" s="124" t="s">
        <v>1055</v>
      </c>
      <c r="E325" s="150">
        <v>20.827664399092971</v>
      </c>
      <c r="F325" s="150">
        <v>18.786848072562357</v>
      </c>
      <c r="G325" s="150">
        <v>67.857142857142861</v>
      </c>
      <c r="H325" s="150">
        <v>67.857142857142861</v>
      </c>
      <c r="I325" s="150">
        <v>47.029478458049894</v>
      </c>
      <c r="J325" s="150">
        <v>86.643990929705211</v>
      </c>
      <c r="K325" s="445">
        <f t="shared" si="3"/>
        <v>-32.142857142857139</v>
      </c>
      <c r="L325" s="445">
        <f t="shared" si="4"/>
        <v>-52.970521541950106</v>
      </c>
      <c r="M325" s="445">
        <f t="shared" si="5"/>
        <v>-13.356009070294789</v>
      </c>
    </row>
    <row r="326" spans="1:13" x14ac:dyDescent="0.3">
      <c r="A326" s="124" t="s">
        <v>17</v>
      </c>
      <c r="B326" s="146" t="s">
        <v>36</v>
      </c>
      <c r="C326" s="146" t="s">
        <v>1057</v>
      </c>
      <c r="D326" s="124" t="s">
        <v>1055</v>
      </c>
      <c r="E326" s="148">
        <v>22.369614512471653</v>
      </c>
      <c r="F326" s="150">
        <v>22.165532879818592</v>
      </c>
      <c r="G326" s="150">
        <v>77.857142857142861</v>
      </c>
      <c r="H326" s="150">
        <v>77.857142857142861</v>
      </c>
      <c r="I326" s="150">
        <v>55.487528344671205</v>
      </c>
      <c r="J326" s="150">
        <v>100.02267573696145</v>
      </c>
      <c r="K326" s="445">
        <f t="shared" si="3"/>
        <v>-22.142857142857139</v>
      </c>
      <c r="L326" s="445">
        <f t="shared" si="4"/>
        <v>-44.512471655328795</v>
      </c>
      <c r="M326" s="445">
        <f t="shared" si="5"/>
        <v>2.2675736961446091E-2</v>
      </c>
    </row>
    <row r="327" spans="1:13" x14ac:dyDescent="0.3">
      <c r="A327" s="124" t="s">
        <v>17</v>
      </c>
      <c r="B327" s="124" t="s">
        <v>38</v>
      </c>
      <c r="C327" s="124" t="s">
        <v>1052</v>
      </c>
      <c r="D327" s="124" t="s">
        <v>1053</v>
      </c>
      <c r="E327" s="150">
        <v>26.281179138321995</v>
      </c>
      <c r="F327" s="150">
        <v>16.439909297052154</v>
      </c>
      <c r="G327" s="150">
        <v>62.857142857142854</v>
      </c>
      <c r="H327" s="150">
        <v>62.857142857142854</v>
      </c>
      <c r="I327" s="150">
        <v>36.575963718820859</v>
      </c>
      <c r="J327" s="150">
        <v>79.297052154195001</v>
      </c>
      <c r="K327" s="445">
        <f t="shared" si="3"/>
        <v>-37.142857142857146</v>
      </c>
      <c r="L327" s="445">
        <f t="shared" si="4"/>
        <v>-63.424036281179141</v>
      </c>
      <c r="M327" s="445">
        <f t="shared" si="5"/>
        <v>-20.702947845804999</v>
      </c>
    </row>
    <row r="328" spans="1:13" x14ac:dyDescent="0.3">
      <c r="A328" s="124" t="s">
        <v>17</v>
      </c>
      <c r="B328" s="124" t="s">
        <v>38</v>
      </c>
      <c r="C328" s="124" t="s">
        <v>1056</v>
      </c>
      <c r="D328" s="124" t="s">
        <v>1053</v>
      </c>
      <c r="E328" s="150">
        <v>15.793650793650794</v>
      </c>
      <c r="F328" s="150">
        <v>10.238095238095237</v>
      </c>
      <c r="G328" s="150">
        <v>78.571428571428569</v>
      </c>
      <c r="H328" s="150">
        <v>78.571428571428569</v>
      </c>
      <c r="I328" s="150">
        <v>62.777777777777771</v>
      </c>
      <c r="J328" s="150">
        <v>88.80952380952381</v>
      </c>
      <c r="K328" s="445">
        <f t="shared" si="3"/>
        <v>-21.428571428571431</v>
      </c>
      <c r="L328" s="445">
        <f t="shared" si="4"/>
        <v>-37.222222222222229</v>
      </c>
      <c r="M328" s="445">
        <f t="shared" si="5"/>
        <v>-11.19047619047619</v>
      </c>
    </row>
    <row r="329" spans="1:13" x14ac:dyDescent="0.3">
      <c r="A329" s="124" t="s">
        <v>17</v>
      </c>
      <c r="B329" s="124" t="s">
        <v>38</v>
      </c>
      <c r="C329" s="124" t="s">
        <v>1057</v>
      </c>
      <c r="D329" s="124" t="s">
        <v>1053</v>
      </c>
      <c r="E329" s="150">
        <v>0</v>
      </c>
      <c r="F329" s="150">
        <v>0</v>
      </c>
      <c r="G329" s="150">
        <v>100</v>
      </c>
      <c r="H329" s="150">
        <v>100</v>
      </c>
      <c r="I329" s="150">
        <v>100</v>
      </c>
      <c r="J329" s="150">
        <v>100</v>
      </c>
      <c r="K329" s="445">
        <f t="shared" si="3"/>
        <v>0</v>
      </c>
      <c r="L329" s="445">
        <f t="shared" si="4"/>
        <v>0</v>
      </c>
      <c r="M329" s="445">
        <f t="shared" si="5"/>
        <v>0</v>
      </c>
    </row>
    <row r="330" spans="1:13" x14ac:dyDescent="0.3">
      <c r="A330" s="124" t="s">
        <v>17</v>
      </c>
      <c r="B330" s="146" t="s">
        <v>38</v>
      </c>
      <c r="C330" s="124" t="s">
        <v>1052</v>
      </c>
      <c r="D330" s="124" t="s">
        <v>1054</v>
      </c>
      <c r="E330" s="150">
        <v>30.578231292517007</v>
      </c>
      <c r="F330" s="150">
        <v>22.312925170068024</v>
      </c>
      <c r="G330" s="150">
        <v>47.857142857142854</v>
      </c>
      <c r="H330" s="150">
        <v>47.857142857142854</v>
      </c>
      <c r="I330" s="150">
        <v>17.278911564625847</v>
      </c>
      <c r="J330" s="150">
        <v>70.170068027210874</v>
      </c>
      <c r="K330" s="445">
        <f t="shared" si="3"/>
        <v>-52.142857142857146</v>
      </c>
      <c r="L330" s="445">
        <f t="shared" si="4"/>
        <v>-82.721088435374156</v>
      </c>
      <c r="M330" s="445">
        <f t="shared" si="5"/>
        <v>-29.829931972789126</v>
      </c>
    </row>
    <row r="331" spans="1:13" x14ac:dyDescent="0.3">
      <c r="A331" s="124" t="s">
        <v>17</v>
      </c>
      <c r="B331" s="124" t="s">
        <v>38</v>
      </c>
      <c r="C331" s="124" t="s">
        <v>1056</v>
      </c>
      <c r="D331" s="124" t="s">
        <v>1054</v>
      </c>
      <c r="E331" s="150">
        <v>23.095238095238095</v>
      </c>
      <c r="F331" s="150">
        <v>15.238095238095237</v>
      </c>
      <c r="G331" s="150">
        <v>72.857142857142861</v>
      </c>
      <c r="H331" s="150">
        <v>72.857142857142861</v>
      </c>
      <c r="I331" s="150">
        <v>49.761904761904766</v>
      </c>
      <c r="J331" s="150">
        <v>88.095238095238102</v>
      </c>
      <c r="K331" s="445">
        <f t="shared" si="3"/>
        <v>-27.142857142857139</v>
      </c>
      <c r="L331" s="445">
        <f t="shared" si="4"/>
        <v>-50.238095238095234</v>
      </c>
      <c r="M331" s="445">
        <f t="shared" si="5"/>
        <v>-11.904761904761898</v>
      </c>
    </row>
    <row r="332" spans="1:13" x14ac:dyDescent="0.3">
      <c r="A332" s="124" t="s">
        <v>17</v>
      </c>
      <c r="B332" s="124" t="s">
        <v>38</v>
      </c>
      <c r="C332" s="124" t="s">
        <v>1057</v>
      </c>
      <c r="D332" s="124" t="s">
        <v>1054</v>
      </c>
      <c r="E332" s="150">
        <v>18.476190476190478</v>
      </c>
      <c r="F332" s="150">
        <v>13.634920634920634</v>
      </c>
      <c r="G332" s="150">
        <v>89.285714285714292</v>
      </c>
      <c r="H332" s="150">
        <v>89.285714285714292</v>
      </c>
      <c r="I332" s="150">
        <v>70.80952380952381</v>
      </c>
      <c r="J332" s="150">
        <v>102.92063492063492</v>
      </c>
      <c r="K332" s="445">
        <f t="shared" si="3"/>
        <v>-10.714285714285708</v>
      </c>
      <c r="L332" s="445">
        <f t="shared" si="4"/>
        <v>-29.19047619047619</v>
      </c>
      <c r="M332" s="445">
        <f t="shared" si="5"/>
        <v>2.9206349206349245</v>
      </c>
    </row>
    <row r="333" spans="1:13" x14ac:dyDescent="0.3">
      <c r="A333" s="124" t="s">
        <v>17</v>
      </c>
      <c r="B333" s="124" t="s">
        <v>38</v>
      </c>
      <c r="C333" s="124" t="s">
        <v>1052</v>
      </c>
      <c r="D333" s="124" t="s">
        <v>1055</v>
      </c>
      <c r="E333" s="150">
        <v>31.49659863945578</v>
      </c>
      <c r="F333" s="150">
        <v>19.455782312925173</v>
      </c>
      <c r="G333" s="150">
        <v>38.571428571428569</v>
      </c>
      <c r="H333" s="150">
        <v>38.571428571428569</v>
      </c>
      <c r="I333" s="150">
        <v>7.0748299319727899</v>
      </c>
      <c r="J333" s="150">
        <v>58.027210884353742</v>
      </c>
      <c r="K333" s="445">
        <f t="shared" si="3"/>
        <v>-61.428571428571431</v>
      </c>
      <c r="L333" s="445">
        <f t="shared" si="4"/>
        <v>-92.925170068027214</v>
      </c>
      <c r="M333" s="445">
        <f t="shared" si="5"/>
        <v>-41.972789115646258</v>
      </c>
    </row>
    <row r="334" spans="1:13" x14ac:dyDescent="0.3">
      <c r="A334" s="124" t="s">
        <v>17</v>
      </c>
      <c r="B334" s="124" t="s">
        <v>38</v>
      </c>
      <c r="C334" s="124" t="s">
        <v>1056</v>
      </c>
      <c r="D334" s="124" t="s">
        <v>1055</v>
      </c>
      <c r="E334" s="150">
        <v>33.591836734693878</v>
      </c>
      <c r="F334" s="150">
        <v>18.095238095238095</v>
      </c>
      <c r="G334" s="150">
        <v>62.142857142857146</v>
      </c>
      <c r="H334" s="150">
        <v>62.142857142857146</v>
      </c>
      <c r="I334" s="150">
        <v>28.551020408163268</v>
      </c>
      <c r="J334" s="150">
        <v>80.238095238095241</v>
      </c>
      <c r="K334" s="445">
        <f t="shared" si="3"/>
        <v>-37.857142857142854</v>
      </c>
      <c r="L334" s="445">
        <f t="shared" si="4"/>
        <v>-71.448979591836732</v>
      </c>
      <c r="M334" s="445">
        <f t="shared" si="5"/>
        <v>-19.761904761904759</v>
      </c>
    </row>
    <row r="335" spans="1:13" x14ac:dyDescent="0.3">
      <c r="A335" s="124" t="s">
        <v>17</v>
      </c>
      <c r="B335" s="146" t="s">
        <v>38</v>
      </c>
      <c r="C335" s="146" t="s">
        <v>1057</v>
      </c>
      <c r="D335" s="124" t="s">
        <v>1055</v>
      </c>
      <c r="E335" s="148">
        <v>34.761904761904759</v>
      </c>
      <c r="F335" s="150">
        <v>20.476190476190474</v>
      </c>
      <c r="G335" s="150">
        <v>74.285714285714292</v>
      </c>
      <c r="H335" s="150">
        <v>74.285714285714292</v>
      </c>
      <c r="I335" s="150">
        <v>39.523809523809533</v>
      </c>
      <c r="J335" s="150">
        <v>94.761904761904759</v>
      </c>
      <c r="K335" s="445">
        <f t="shared" si="3"/>
        <v>-25.714285714285708</v>
      </c>
      <c r="L335" s="445">
        <f t="shared" si="4"/>
        <v>-60.476190476190467</v>
      </c>
      <c r="M335" s="445">
        <f t="shared" si="5"/>
        <v>-5.2380952380952408</v>
      </c>
    </row>
    <row r="336" spans="1:13" x14ac:dyDescent="0.3">
      <c r="A336" s="124" t="s">
        <v>17</v>
      </c>
      <c r="B336" s="124" t="s">
        <v>41</v>
      </c>
      <c r="C336" s="124" t="s">
        <v>1052</v>
      </c>
      <c r="D336" s="124" t="s">
        <v>1053</v>
      </c>
      <c r="E336" s="150">
        <v>24</v>
      </c>
      <c r="F336" s="150">
        <v>16.571428571428573</v>
      </c>
      <c r="G336" s="150">
        <v>73.571428571428569</v>
      </c>
      <c r="H336" s="150">
        <v>73.571428571428569</v>
      </c>
      <c r="I336" s="150">
        <v>49.571428571428569</v>
      </c>
      <c r="J336" s="150">
        <v>90.142857142857139</v>
      </c>
      <c r="K336" s="445">
        <f t="shared" si="3"/>
        <v>-26.428571428571431</v>
      </c>
      <c r="L336" s="445">
        <f t="shared" si="4"/>
        <v>-50.428571428571431</v>
      </c>
      <c r="M336" s="445">
        <f t="shared" si="5"/>
        <v>-9.8571428571428612</v>
      </c>
    </row>
    <row r="337" spans="1:13" x14ac:dyDescent="0.3">
      <c r="A337" s="124" t="s">
        <v>17</v>
      </c>
      <c r="B337" s="124" t="s">
        <v>41</v>
      </c>
      <c r="C337" s="124" t="s">
        <v>1056</v>
      </c>
      <c r="D337" s="124" t="s">
        <v>1053</v>
      </c>
      <c r="E337" s="150">
        <v>16.730158730158728</v>
      </c>
      <c r="F337" s="150">
        <v>9.1111111111111107</v>
      </c>
      <c r="G337" s="150">
        <v>85</v>
      </c>
      <c r="H337" s="150">
        <v>85</v>
      </c>
      <c r="I337" s="150">
        <v>68.269841269841265</v>
      </c>
      <c r="J337" s="150">
        <v>94.111111111111114</v>
      </c>
      <c r="K337" s="445">
        <f t="shared" si="3"/>
        <v>-15</v>
      </c>
      <c r="L337" s="445">
        <f t="shared" si="4"/>
        <v>-31.730158730158735</v>
      </c>
      <c r="M337" s="445">
        <f t="shared" si="5"/>
        <v>-5.8888888888888857</v>
      </c>
    </row>
    <row r="338" spans="1:13" x14ac:dyDescent="0.3">
      <c r="A338" s="124" t="s">
        <v>17</v>
      </c>
      <c r="B338" s="124" t="s">
        <v>41</v>
      </c>
      <c r="C338" s="124" t="s">
        <v>1057</v>
      </c>
      <c r="D338" s="124" t="s">
        <v>1053</v>
      </c>
      <c r="E338" s="150">
        <v>0</v>
      </c>
      <c r="F338" s="150">
        <v>0</v>
      </c>
      <c r="G338" s="150">
        <v>100</v>
      </c>
      <c r="H338" s="150">
        <v>100</v>
      </c>
      <c r="I338" s="150">
        <v>100</v>
      </c>
      <c r="J338" s="150">
        <v>100</v>
      </c>
      <c r="K338" s="445">
        <f t="shared" si="3"/>
        <v>0</v>
      </c>
      <c r="L338" s="445">
        <f t="shared" si="4"/>
        <v>0</v>
      </c>
      <c r="M338" s="445">
        <f t="shared" si="5"/>
        <v>0</v>
      </c>
    </row>
    <row r="339" spans="1:13" x14ac:dyDescent="0.3">
      <c r="A339" s="124" t="s">
        <v>17</v>
      </c>
      <c r="B339" s="146" t="s">
        <v>41</v>
      </c>
      <c r="C339" s="124" t="s">
        <v>1052</v>
      </c>
      <c r="D339" s="146" t="s">
        <v>1054</v>
      </c>
      <c r="E339" s="150">
        <v>23.210884353741495</v>
      </c>
      <c r="F339" s="150">
        <v>22.353741496598637</v>
      </c>
      <c r="G339" s="150">
        <v>53.571428571428569</v>
      </c>
      <c r="H339" s="150">
        <v>53.571428571428569</v>
      </c>
      <c r="I339" s="150">
        <v>30.360544217687075</v>
      </c>
      <c r="J339" s="150">
        <v>75.925170068027199</v>
      </c>
      <c r="K339" s="445">
        <f t="shared" si="3"/>
        <v>-46.428571428571431</v>
      </c>
      <c r="L339" s="445">
        <f t="shared" si="4"/>
        <v>-69.639455782312922</v>
      </c>
      <c r="M339" s="445">
        <f t="shared" si="5"/>
        <v>-24.074829931972801</v>
      </c>
    </row>
    <row r="340" spans="1:13" x14ac:dyDescent="0.3">
      <c r="A340" s="124" t="s">
        <v>17</v>
      </c>
      <c r="B340" s="124" t="s">
        <v>41</v>
      </c>
      <c r="C340" s="124" t="s">
        <v>1056</v>
      </c>
      <c r="D340" s="124" t="s">
        <v>1054</v>
      </c>
      <c r="E340" s="150">
        <v>20.460317460317462</v>
      </c>
      <c r="F340" s="150">
        <v>16.888888888888889</v>
      </c>
      <c r="G340" s="150">
        <v>78.571428571428569</v>
      </c>
      <c r="H340" s="150">
        <v>78.571428571428569</v>
      </c>
      <c r="I340" s="150">
        <v>58.111111111111107</v>
      </c>
      <c r="J340" s="150">
        <v>95.460317460317455</v>
      </c>
      <c r="K340" s="445">
        <f t="shared" si="3"/>
        <v>-21.428571428571431</v>
      </c>
      <c r="L340" s="445">
        <f t="shared" si="4"/>
        <v>-41.888888888888893</v>
      </c>
      <c r="M340" s="445">
        <f t="shared" si="5"/>
        <v>-4.5396825396825449</v>
      </c>
    </row>
    <row r="341" spans="1:13" x14ac:dyDescent="0.3">
      <c r="A341" s="124" t="s">
        <v>17</v>
      </c>
      <c r="B341" s="124" t="s">
        <v>41</v>
      </c>
      <c r="C341" s="124" t="s">
        <v>1057</v>
      </c>
      <c r="D341" s="124" t="s">
        <v>1054</v>
      </c>
      <c r="E341" s="150">
        <v>22.50793650793651</v>
      </c>
      <c r="F341" s="150">
        <v>19.777777777777779</v>
      </c>
      <c r="G341" s="150">
        <v>90.714285714285708</v>
      </c>
      <c r="H341" s="150">
        <v>90.714285714285708</v>
      </c>
      <c r="I341" s="150">
        <v>68.206349206349202</v>
      </c>
      <c r="J341" s="150">
        <v>110.49206349206349</v>
      </c>
      <c r="K341" s="445">
        <f t="shared" si="3"/>
        <v>-9.2857142857142918</v>
      </c>
      <c r="L341" s="445">
        <f t="shared" si="4"/>
        <v>-31.793650793650798</v>
      </c>
      <c r="M341" s="445">
        <f t="shared" si="5"/>
        <v>10.492063492063494</v>
      </c>
    </row>
    <row r="342" spans="1:13" x14ac:dyDescent="0.3">
      <c r="A342" s="124" t="s">
        <v>17</v>
      </c>
      <c r="B342" s="124" t="s">
        <v>41</v>
      </c>
      <c r="C342" s="124" t="s">
        <v>1052</v>
      </c>
      <c r="D342" s="124" t="s">
        <v>1055</v>
      </c>
      <c r="E342" s="150">
        <v>27.523809523809522</v>
      </c>
      <c r="F342" s="150">
        <v>35.619047619047613</v>
      </c>
      <c r="G342" s="150">
        <v>47.142857142857146</v>
      </c>
      <c r="H342" s="150">
        <v>47.142857142857146</v>
      </c>
      <c r="I342" s="150">
        <v>19.619047619047624</v>
      </c>
      <c r="J342" s="150">
        <v>82.761904761904759</v>
      </c>
      <c r="K342" s="445">
        <f t="shared" si="3"/>
        <v>-52.857142857142854</v>
      </c>
      <c r="L342" s="445">
        <f t="shared" si="4"/>
        <v>-80.38095238095238</v>
      </c>
      <c r="M342" s="445">
        <f t="shared" si="5"/>
        <v>-17.238095238095241</v>
      </c>
    </row>
    <row r="343" spans="1:13" x14ac:dyDescent="0.3">
      <c r="A343" s="124" t="s">
        <v>17</v>
      </c>
      <c r="B343" s="124" t="s">
        <v>41</v>
      </c>
      <c r="C343" s="124" t="s">
        <v>1056</v>
      </c>
      <c r="D343" s="124" t="s">
        <v>1055</v>
      </c>
      <c r="E343" s="150">
        <v>28.385487528344669</v>
      </c>
      <c r="F343" s="150">
        <v>25.120181405895689</v>
      </c>
      <c r="G343" s="150">
        <v>65</v>
      </c>
      <c r="H343" s="150">
        <v>65</v>
      </c>
      <c r="I343" s="150">
        <v>36.614512471655331</v>
      </c>
      <c r="J343" s="150">
        <v>90.120181405895693</v>
      </c>
      <c r="K343" s="445">
        <f t="shared" si="3"/>
        <v>-35</v>
      </c>
      <c r="L343" s="445">
        <f t="shared" si="4"/>
        <v>-63.385487528344669</v>
      </c>
      <c r="M343" s="445">
        <f t="shared" si="5"/>
        <v>-9.8798185941043073</v>
      </c>
    </row>
    <row r="344" spans="1:13" x14ac:dyDescent="0.3">
      <c r="A344" s="124" t="s">
        <v>17</v>
      </c>
      <c r="B344" s="146" t="s">
        <v>41</v>
      </c>
      <c r="C344" s="146" t="s">
        <v>1057</v>
      </c>
      <c r="D344" s="146" t="s">
        <v>1055</v>
      </c>
      <c r="E344" s="148">
        <v>27.206349206349209</v>
      </c>
      <c r="F344" s="148">
        <v>23.158730158730158</v>
      </c>
      <c r="G344" s="148">
        <v>69.285714285714292</v>
      </c>
      <c r="H344" s="148">
        <v>69.285714285714292</v>
      </c>
      <c r="I344" s="148">
        <v>42.079365079365083</v>
      </c>
      <c r="J344" s="148">
        <v>92.444444444444457</v>
      </c>
      <c r="K344" s="445">
        <f t="shared" si="3"/>
        <v>-30.714285714285708</v>
      </c>
      <c r="L344" s="445">
        <f t="shared" si="4"/>
        <v>-57.920634920634917</v>
      </c>
      <c r="M344" s="445">
        <f t="shared" si="5"/>
        <v>-7.5555555555555429</v>
      </c>
    </row>
    <row r="345" spans="1:13" x14ac:dyDescent="0.3">
      <c r="A345" s="124" t="s">
        <v>17</v>
      </c>
      <c r="B345" s="124" t="s">
        <v>43</v>
      </c>
      <c r="C345" s="124" t="s">
        <v>1052</v>
      </c>
      <c r="D345" s="124" t="s">
        <v>1053</v>
      </c>
      <c r="E345" s="150">
        <v>25.122448979591837</v>
      </c>
      <c r="F345" s="150">
        <v>17.312925170068027</v>
      </c>
      <c r="G345" s="150">
        <v>66.428571428571431</v>
      </c>
      <c r="H345" s="150">
        <v>66.428571428571431</v>
      </c>
      <c r="I345" s="150">
        <v>41.306122448979593</v>
      </c>
      <c r="J345" s="150">
        <v>83.741496598639458</v>
      </c>
      <c r="K345" s="445">
        <f t="shared" si="3"/>
        <v>-33.571428571428569</v>
      </c>
      <c r="L345" s="445">
        <f t="shared" si="4"/>
        <v>-58.693877551020407</v>
      </c>
      <c r="M345" s="445">
        <f t="shared" si="5"/>
        <v>-16.258503401360542</v>
      </c>
    </row>
    <row r="346" spans="1:13" x14ac:dyDescent="0.3">
      <c r="A346" s="124" t="s">
        <v>17</v>
      </c>
      <c r="B346" s="124" t="s">
        <v>43</v>
      </c>
      <c r="C346" s="124" t="s">
        <v>1056</v>
      </c>
      <c r="D346" s="124" t="s">
        <v>1053</v>
      </c>
      <c r="E346" s="150">
        <v>20.827664399092971</v>
      </c>
      <c r="F346" s="150">
        <v>10</v>
      </c>
      <c r="G346" s="150">
        <v>85</v>
      </c>
      <c r="H346" s="150">
        <v>85</v>
      </c>
      <c r="I346" s="150">
        <v>64.172335600907033</v>
      </c>
      <c r="J346" s="150">
        <v>95</v>
      </c>
      <c r="K346" s="445">
        <f t="shared" si="3"/>
        <v>-15</v>
      </c>
      <c r="L346" s="445">
        <f t="shared" si="4"/>
        <v>-35.827664399092967</v>
      </c>
      <c r="M346" s="445">
        <f t="shared" si="5"/>
        <v>-5</v>
      </c>
    </row>
    <row r="347" spans="1:13" x14ac:dyDescent="0.3">
      <c r="A347" s="124" t="s">
        <v>17</v>
      </c>
      <c r="B347" s="124" t="s">
        <v>43</v>
      </c>
      <c r="C347" s="124" t="s">
        <v>1057</v>
      </c>
      <c r="D347" s="124" t="s">
        <v>1053</v>
      </c>
      <c r="E347" s="150">
        <v>0</v>
      </c>
      <c r="F347" s="150">
        <v>0</v>
      </c>
      <c r="G347" s="150">
        <v>100</v>
      </c>
      <c r="H347" s="150">
        <v>100</v>
      </c>
      <c r="I347" s="150">
        <v>100</v>
      </c>
      <c r="J347" s="150">
        <v>100</v>
      </c>
      <c r="K347" s="445">
        <f t="shared" si="3"/>
        <v>0</v>
      </c>
      <c r="L347" s="445">
        <f t="shared" si="4"/>
        <v>0</v>
      </c>
      <c r="M347" s="445">
        <f t="shared" si="5"/>
        <v>0</v>
      </c>
    </row>
    <row r="348" spans="1:13" x14ac:dyDescent="0.3">
      <c r="A348" s="124" t="s">
        <v>17</v>
      </c>
      <c r="B348" s="146" t="s">
        <v>43</v>
      </c>
      <c r="C348" s="124" t="s">
        <v>1052</v>
      </c>
      <c r="D348" s="124" t="s">
        <v>1054</v>
      </c>
      <c r="E348" s="150">
        <v>29.591836734693882</v>
      </c>
      <c r="F348" s="150">
        <v>22.482993197278908</v>
      </c>
      <c r="G348" s="150">
        <v>60</v>
      </c>
      <c r="H348" s="150">
        <v>60</v>
      </c>
      <c r="I348" s="150">
        <v>30.408163265306118</v>
      </c>
      <c r="J348" s="150">
        <v>82.482993197278915</v>
      </c>
      <c r="K348" s="445">
        <f t="shared" si="3"/>
        <v>-40</v>
      </c>
      <c r="L348" s="445">
        <f t="shared" si="4"/>
        <v>-69.591836734693885</v>
      </c>
      <c r="M348" s="445">
        <f t="shared" si="5"/>
        <v>-17.517006802721085</v>
      </c>
    </row>
    <row r="349" spans="1:13" x14ac:dyDescent="0.3">
      <c r="A349" s="124" t="s">
        <v>17</v>
      </c>
      <c r="B349" s="124" t="s">
        <v>43</v>
      </c>
      <c r="C349" s="124" t="s">
        <v>1056</v>
      </c>
      <c r="D349" s="124" t="s">
        <v>1054</v>
      </c>
      <c r="E349" s="150">
        <v>21.972789115646258</v>
      </c>
      <c r="F349" s="150">
        <v>12.108843537414966</v>
      </c>
      <c r="G349" s="150">
        <v>80</v>
      </c>
      <c r="H349" s="150">
        <v>80</v>
      </c>
      <c r="I349" s="150">
        <v>58.027210884353742</v>
      </c>
      <c r="J349" s="150">
        <v>92.10884353741497</v>
      </c>
      <c r="K349" s="445">
        <f t="shared" si="3"/>
        <v>-20</v>
      </c>
      <c r="L349" s="445">
        <f t="shared" si="4"/>
        <v>-41.972789115646258</v>
      </c>
      <c r="M349" s="445">
        <f t="shared" si="5"/>
        <v>-7.8911564625850303</v>
      </c>
    </row>
    <row r="350" spans="1:13" x14ac:dyDescent="0.3">
      <c r="A350" s="124" t="s">
        <v>17</v>
      </c>
      <c r="B350" s="124" t="s">
        <v>43</v>
      </c>
      <c r="C350" s="124" t="s">
        <v>1057</v>
      </c>
      <c r="D350" s="124" t="s">
        <v>1054</v>
      </c>
      <c r="E350" s="150">
        <v>17.290249433106574</v>
      </c>
      <c r="F350" s="150">
        <v>8.5147392290249435</v>
      </c>
      <c r="G350" s="150">
        <v>92.857142857142861</v>
      </c>
      <c r="H350" s="150">
        <v>92.857142857142861</v>
      </c>
      <c r="I350" s="150">
        <v>75.566893424036294</v>
      </c>
      <c r="J350" s="150">
        <v>101.3718820861678</v>
      </c>
      <c r="K350" s="445">
        <f t="shared" si="3"/>
        <v>-7.1428571428571388</v>
      </c>
      <c r="L350" s="445">
        <f t="shared" si="4"/>
        <v>-24.433106575963706</v>
      </c>
      <c r="M350" s="445">
        <f t="shared" si="5"/>
        <v>1.3718820861678012</v>
      </c>
    </row>
    <row r="351" spans="1:13" x14ac:dyDescent="0.3">
      <c r="A351" s="124" t="s">
        <v>17</v>
      </c>
      <c r="B351" s="124" t="s">
        <v>43</v>
      </c>
      <c r="C351" s="124" t="s">
        <v>1052</v>
      </c>
      <c r="D351" s="124" t="s">
        <v>1055</v>
      </c>
      <c r="E351" s="150">
        <v>36.088435374149654</v>
      </c>
      <c r="F351" s="150">
        <v>23.2312925170068</v>
      </c>
      <c r="G351" s="150">
        <v>55</v>
      </c>
      <c r="H351" s="150">
        <v>55</v>
      </c>
      <c r="I351" s="150">
        <v>18.911564625850346</v>
      </c>
      <c r="J351" s="150">
        <v>78.231292517006807</v>
      </c>
      <c r="K351" s="445">
        <f t="shared" si="3"/>
        <v>-45</v>
      </c>
      <c r="L351" s="445">
        <f t="shared" si="4"/>
        <v>-81.088435374149654</v>
      </c>
      <c r="M351" s="445">
        <f t="shared" si="5"/>
        <v>-21.768707482993193</v>
      </c>
    </row>
    <row r="352" spans="1:13" x14ac:dyDescent="0.3">
      <c r="A352" s="124" t="s">
        <v>17</v>
      </c>
      <c r="B352" s="124" t="s">
        <v>43</v>
      </c>
      <c r="C352" s="124" t="s">
        <v>1056</v>
      </c>
      <c r="D352" s="124" t="s">
        <v>1055</v>
      </c>
      <c r="E352" s="150">
        <v>25.102040816326532</v>
      </c>
      <c r="F352" s="150">
        <v>21.020408163265305</v>
      </c>
      <c r="G352" s="150">
        <v>72.857142857142861</v>
      </c>
      <c r="H352" s="150">
        <v>72.857142857142861</v>
      </c>
      <c r="I352" s="150">
        <v>47.755102040816325</v>
      </c>
      <c r="J352" s="150">
        <v>93.877551020408163</v>
      </c>
      <c r="K352" s="445">
        <f t="shared" si="3"/>
        <v>-27.142857142857139</v>
      </c>
      <c r="L352" s="445">
        <f t="shared" si="4"/>
        <v>-52.244897959183675</v>
      </c>
      <c r="M352" s="445">
        <f t="shared" si="5"/>
        <v>-6.1224489795918373</v>
      </c>
    </row>
    <row r="353" spans="1:13" x14ac:dyDescent="0.3">
      <c r="A353" s="124" t="s">
        <v>17</v>
      </c>
      <c r="B353" s="146" t="s">
        <v>43</v>
      </c>
      <c r="C353" s="146" t="s">
        <v>1057</v>
      </c>
      <c r="D353" s="124" t="s">
        <v>1055</v>
      </c>
      <c r="E353" s="148">
        <v>18.061224489795919</v>
      </c>
      <c r="F353" s="150">
        <v>21.020408163265305</v>
      </c>
      <c r="G353" s="150">
        <v>80</v>
      </c>
      <c r="H353" s="150">
        <v>80</v>
      </c>
      <c r="I353" s="150">
        <v>61.938775510204081</v>
      </c>
      <c r="J353" s="150">
        <v>101.0204081632653</v>
      </c>
      <c r="K353" s="445">
        <f t="shared" si="3"/>
        <v>-20</v>
      </c>
      <c r="L353" s="445">
        <f t="shared" si="4"/>
        <v>-38.061224489795919</v>
      </c>
      <c r="M353" s="445">
        <f t="shared" si="5"/>
        <v>1.0204081632653015</v>
      </c>
    </row>
    <row r="354" spans="1:13" x14ac:dyDescent="0.3">
      <c r="A354" s="124" t="s">
        <v>17</v>
      </c>
      <c r="B354" s="124" t="s">
        <v>45</v>
      </c>
      <c r="C354" s="124" t="s">
        <v>1052</v>
      </c>
      <c r="D354" s="124" t="s">
        <v>1053</v>
      </c>
      <c r="E354" s="150">
        <v>29.931972789115644</v>
      </c>
      <c r="F354" s="150">
        <v>16.598639455782312</v>
      </c>
      <c r="G354" s="150">
        <v>70</v>
      </c>
      <c r="H354" s="150">
        <v>70</v>
      </c>
      <c r="I354" s="150">
        <v>40.068027210884352</v>
      </c>
      <c r="J354" s="150">
        <v>86.598639455782319</v>
      </c>
      <c r="K354" s="445">
        <f t="shared" si="3"/>
        <v>-30</v>
      </c>
      <c r="L354" s="445">
        <f t="shared" si="4"/>
        <v>-59.931972789115648</v>
      </c>
      <c r="M354" s="445">
        <f t="shared" si="5"/>
        <v>-13.401360544217681</v>
      </c>
    </row>
    <row r="355" spans="1:13" x14ac:dyDescent="0.3">
      <c r="A355" s="124" t="s">
        <v>17</v>
      </c>
      <c r="B355" s="124" t="s">
        <v>45</v>
      </c>
      <c r="C355" s="124" t="s">
        <v>1056</v>
      </c>
      <c r="D355" s="124" t="s">
        <v>1053</v>
      </c>
      <c r="E355" s="150">
        <v>15.247165532879817</v>
      </c>
      <c r="F355" s="150">
        <v>9.3287981859410429</v>
      </c>
      <c r="G355" s="150">
        <v>83.571428571428569</v>
      </c>
      <c r="H355" s="150">
        <v>83.571428571428569</v>
      </c>
      <c r="I355" s="150">
        <v>68.32426303854875</v>
      </c>
      <c r="J355" s="150">
        <v>92.900226757369609</v>
      </c>
      <c r="K355" s="445">
        <f t="shared" si="3"/>
        <v>-16.428571428571431</v>
      </c>
      <c r="L355" s="445">
        <f t="shared" si="4"/>
        <v>-31.67573696145125</v>
      </c>
      <c r="M355" s="445">
        <f t="shared" si="5"/>
        <v>-7.0997732426303912</v>
      </c>
    </row>
    <row r="356" spans="1:13" x14ac:dyDescent="0.3">
      <c r="A356" s="124" t="s">
        <v>17</v>
      </c>
      <c r="B356" s="124" t="s">
        <v>45</v>
      </c>
      <c r="C356" s="124" t="s">
        <v>1057</v>
      </c>
      <c r="D356" s="124" t="s">
        <v>1053</v>
      </c>
      <c r="E356" s="150">
        <v>0</v>
      </c>
      <c r="F356" s="150">
        <v>0</v>
      </c>
      <c r="G356" s="150">
        <v>100</v>
      </c>
      <c r="H356" s="150">
        <v>100</v>
      </c>
      <c r="I356" s="150">
        <v>100</v>
      </c>
      <c r="J356" s="150">
        <v>100</v>
      </c>
      <c r="K356" s="445">
        <f t="shared" si="3"/>
        <v>0</v>
      </c>
      <c r="L356" s="445">
        <f t="shared" si="4"/>
        <v>0</v>
      </c>
      <c r="M356" s="445">
        <f t="shared" si="5"/>
        <v>0</v>
      </c>
    </row>
    <row r="357" spans="1:13" x14ac:dyDescent="0.3">
      <c r="A357" s="124" t="s">
        <v>17</v>
      </c>
      <c r="B357" s="146" t="s">
        <v>45</v>
      </c>
      <c r="C357" s="146" t="s">
        <v>1052</v>
      </c>
      <c r="D357" s="146" t="s">
        <v>1054</v>
      </c>
      <c r="E357" s="148">
        <v>32.585034013605444</v>
      </c>
      <c r="F357" s="148">
        <v>21.496598639455783</v>
      </c>
      <c r="G357" s="148">
        <v>54.285714285714285</v>
      </c>
      <c r="H357" s="148">
        <v>54.285714285714285</v>
      </c>
      <c r="I357" s="148">
        <v>21.700680272108841</v>
      </c>
      <c r="J357" s="148">
        <v>75.782312925170061</v>
      </c>
      <c r="K357" s="445">
        <f t="shared" si="3"/>
        <v>-45.714285714285715</v>
      </c>
      <c r="L357" s="445">
        <f t="shared" si="4"/>
        <v>-78.299319727891159</v>
      </c>
      <c r="M357" s="445">
        <f t="shared" si="5"/>
        <v>-24.217687074829939</v>
      </c>
    </row>
    <row r="358" spans="1:13" x14ac:dyDescent="0.3">
      <c r="A358" s="124" t="s">
        <v>17</v>
      </c>
      <c r="B358" s="124" t="s">
        <v>45</v>
      </c>
      <c r="C358" s="124" t="s">
        <v>1056</v>
      </c>
      <c r="D358" s="124" t="s">
        <v>1054</v>
      </c>
      <c r="E358" s="150">
        <v>24.591836734693878</v>
      </c>
      <c r="F358" s="150">
        <v>16.802721088435373</v>
      </c>
      <c r="G358" s="150">
        <v>77.142857142857139</v>
      </c>
      <c r="H358" s="150">
        <v>77.142857142857139</v>
      </c>
      <c r="I358" s="150">
        <v>52.551020408163261</v>
      </c>
      <c r="J358" s="150">
        <v>93.945578231292515</v>
      </c>
      <c r="K358" s="445">
        <f t="shared" si="3"/>
        <v>-22.857142857142861</v>
      </c>
      <c r="L358" s="445">
        <f t="shared" si="4"/>
        <v>-47.448979591836739</v>
      </c>
      <c r="M358" s="445">
        <f t="shared" si="5"/>
        <v>-6.0544217687074848</v>
      </c>
    </row>
    <row r="359" spans="1:13" x14ac:dyDescent="0.3">
      <c r="A359" s="124" t="s">
        <v>17</v>
      </c>
      <c r="B359" s="124" t="s">
        <v>45</v>
      </c>
      <c r="C359" s="124" t="s">
        <v>1057</v>
      </c>
      <c r="D359" s="124" t="s">
        <v>1054</v>
      </c>
      <c r="E359" s="150">
        <v>15.328798185941043</v>
      </c>
      <c r="F359" s="150">
        <v>12.108843537414966</v>
      </c>
      <c r="G359" s="150">
        <v>92.857142857142861</v>
      </c>
      <c r="H359" s="150">
        <v>92.857142857142861</v>
      </c>
      <c r="I359" s="150">
        <v>77.528344671201822</v>
      </c>
      <c r="J359" s="150">
        <v>104.96598639455783</v>
      </c>
      <c r="K359" s="445">
        <f t="shared" si="3"/>
        <v>-7.1428571428571388</v>
      </c>
      <c r="L359" s="445">
        <f t="shared" si="4"/>
        <v>-22.471655328798178</v>
      </c>
      <c r="M359" s="445">
        <f t="shared" si="5"/>
        <v>4.9659863945578309</v>
      </c>
    </row>
    <row r="360" spans="1:13" x14ac:dyDescent="0.3">
      <c r="A360" s="124" t="s">
        <v>17</v>
      </c>
      <c r="B360" s="124" t="s">
        <v>45</v>
      </c>
      <c r="C360" s="124" t="s">
        <v>1052</v>
      </c>
      <c r="D360" s="124" t="s">
        <v>1055</v>
      </c>
      <c r="E360" s="150">
        <v>32.448979591836732</v>
      </c>
      <c r="F360" s="150">
        <v>23.469387755102041</v>
      </c>
      <c r="G360" s="150">
        <v>44.285714285714285</v>
      </c>
      <c r="H360" s="150">
        <v>44.285714285714285</v>
      </c>
      <c r="I360" s="150">
        <v>11.836734693877553</v>
      </c>
      <c r="J360" s="150">
        <v>67.755102040816325</v>
      </c>
      <c r="K360" s="445">
        <f t="shared" si="3"/>
        <v>-55.714285714285715</v>
      </c>
      <c r="L360" s="445">
        <f t="shared" si="4"/>
        <v>-88.16326530612244</v>
      </c>
      <c r="M360" s="445">
        <f t="shared" si="5"/>
        <v>-32.244897959183675</v>
      </c>
    </row>
    <row r="361" spans="1:13" x14ac:dyDescent="0.3">
      <c r="A361" s="124" t="s">
        <v>17</v>
      </c>
      <c r="B361" s="124" t="s">
        <v>45</v>
      </c>
      <c r="C361" s="124" t="s">
        <v>1056</v>
      </c>
      <c r="D361" s="124" t="s">
        <v>1055</v>
      </c>
      <c r="E361" s="150">
        <v>27.95918367346939</v>
      </c>
      <c r="F361" s="150">
        <v>22.176870748299319</v>
      </c>
      <c r="G361" s="150">
        <v>65.714285714285708</v>
      </c>
      <c r="H361" s="150">
        <v>65.714285714285708</v>
      </c>
      <c r="I361" s="150">
        <v>37.755102040816318</v>
      </c>
      <c r="J361" s="150">
        <v>87.89115646258503</v>
      </c>
      <c r="K361" s="445">
        <f t="shared" si="3"/>
        <v>-34.285714285714292</v>
      </c>
      <c r="L361" s="445">
        <f t="shared" si="4"/>
        <v>-62.244897959183682</v>
      </c>
      <c r="M361" s="445">
        <f t="shared" si="5"/>
        <v>-12.10884353741497</v>
      </c>
    </row>
    <row r="362" spans="1:13" x14ac:dyDescent="0.3">
      <c r="A362" s="124" t="s">
        <v>17</v>
      </c>
      <c r="B362" s="146" t="s">
        <v>45</v>
      </c>
      <c r="C362" s="146" t="s">
        <v>1057</v>
      </c>
      <c r="D362" s="124" t="s">
        <v>1055</v>
      </c>
      <c r="E362" s="148">
        <v>26.666666666666664</v>
      </c>
      <c r="F362" s="150">
        <v>19.761904761904759</v>
      </c>
      <c r="G362" s="150">
        <v>78.571428571428569</v>
      </c>
      <c r="H362" s="150">
        <v>78.571428571428569</v>
      </c>
      <c r="I362" s="150">
        <v>51.904761904761905</v>
      </c>
      <c r="J362" s="150">
        <v>98.333333333333329</v>
      </c>
      <c r="K362" s="445">
        <f t="shared" si="3"/>
        <v>-21.428571428571431</v>
      </c>
      <c r="L362" s="445">
        <f t="shared" si="4"/>
        <v>-48.095238095238095</v>
      </c>
      <c r="M362" s="445">
        <f t="shared" si="5"/>
        <v>-1.6666666666666714</v>
      </c>
    </row>
    <row r="363" spans="1:13" x14ac:dyDescent="0.3">
      <c r="A363" s="124" t="s">
        <v>17</v>
      </c>
      <c r="B363" s="124" t="s">
        <v>47</v>
      </c>
      <c r="C363" s="124" t="s">
        <v>1052</v>
      </c>
      <c r="D363" s="124" t="s">
        <v>1053</v>
      </c>
      <c r="E363" s="150">
        <v>26.662131519274375</v>
      </c>
      <c r="F363" s="150">
        <v>16.820861678004537</v>
      </c>
      <c r="G363" s="150">
        <v>62.857142857142854</v>
      </c>
      <c r="H363" s="150">
        <v>62.857142857142854</v>
      </c>
      <c r="I363" s="150">
        <v>36.195011337868479</v>
      </c>
      <c r="J363" s="150">
        <v>79.678004535147394</v>
      </c>
      <c r="K363" s="445">
        <f t="shared" si="3"/>
        <v>-37.142857142857146</v>
      </c>
      <c r="L363" s="445">
        <f t="shared" si="4"/>
        <v>-63.804988662131521</v>
      </c>
      <c r="M363" s="445">
        <f t="shared" si="5"/>
        <v>-20.321995464852606</v>
      </c>
    </row>
    <row r="364" spans="1:13" x14ac:dyDescent="0.3">
      <c r="A364" s="124" t="s">
        <v>17</v>
      </c>
      <c r="B364" s="124" t="s">
        <v>47</v>
      </c>
      <c r="C364" s="124" t="s">
        <v>1056</v>
      </c>
      <c r="D364" s="124" t="s">
        <v>1053</v>
      </c>
      <c r="E364" s="150">
        <v>15.603174603174603</v>
      </c>
      <c r="F364" s="150">
        <v>7.761904761904761</v>
      </c>
      <c r="G364" s="150">
        <v>80</v>
      </c>
      <c r="H364" s="150">
        <v>80</v>
      </c>
      <c r="I364" s="150">
        <v>64.396825396825392</v>
      </c>
      <c r="J364" s="150">
        <v>87.761904761904759</v>
      </c>
      <c r="K364" s="445">
        <f t="shared" si="3"/>
        <v>-20</v>
      </c>
      <c r="L364" s="445">
        <f t="shared" si="4"/>
        <v>-35.603174603174608</v>
      </c>
      <c r="M364" s="445">
        <f t="shared" si="5"/>
        <v>-12.238095238095241</v>
      </c>
    </row>
    <row r="365" spans="1:13" x14ac:dyDescent="0.3">
      <c r="A365" s="124" t="s">
        <v>17</v>
      </c>
      <c r="B365" s="124" t="s">
        <v>47</v>
      </c>
      <c r="C365" s="124" t="s">
        <v>1057</v>
      </c>
      <c r="D365" s="124" t="s">
        <v>1053</v>
      </c>
      <c r="E365" s="150">
        <v>0</v>
      </c>
      <c r="F365" s="150">
        <v>0</v>
      </c>
      <c r="G365" s="150">
        <v>100</v>
      </c>
      <c r="H365" s="150">
        <v>100</v>
      </c>
      <c r="I365" s="150">
        <v>100</v>
      </c>
      <c r="J365" s="150">
        <v>100</v>
      </c>
      <c r="K365" s="445">
        <f t="shared" si="3"/>
        <v>0</v>
      </c>
      <c r="L365" s="445">
        <f t="shared" si="4"/>
        <v>0</v>
      </c>
      <c r="M365" s="445">
        <f t="shared" si="5"/>
        <v>0</v>
      </c>
    </row>
    <row r="366" spans="1:13" x14ac:dyDescent="0.3">
      <c r="A366" s="124" t="s">
        <v>17</v>
      </c>
      <c r="B366" s="146" t="s">
        <v>47</v>
      </c>
      <c r="C366" s="124" t="s">
        <v>1052</v>
      </c>
      <c r="D366" s="124" t="s">
        <v>1054</v>
      </c>
      <c r="E366" s="150">
        <v>30.244897959183675</v>
      </c>
      <c r="F366" s="150">
        <v>21.061224489795915</v>
      </c>
      <c r="G366" s="150">
        <v>47.857142857142854</v>
      </c>
      <c r="H366" s="150">
        <v>47.857142857142854</v>
      </c>
      <c r="I366" s="150">
        <v>17.612244897959179</v>
      </c>
      <c r="J366" s="150">
        <v>68.918367346938766</v>
      </c>
      <c r="K366" s="445">
        <f t="shared" si="3"/>
        <v>-52.142857142857146</v>
      </c>
      <c r="L366" s="445">
        <f t="shared" si="4"/>
        <v>-82.387755102040813</v>
      </c>
      <c r="M366" s="445">
        <f t="shared" si="5"/>
        <v>-31.081632653061234</v>
      </c>
    </row>
    <row r="367" spans="1:13" x14ac:dyDescent="0.3">
      <c r="A367" s="124" t="s">
        <v>17</v>
      </c>
      <c r="B367" s="124" t="s">
        <v>47</v>
      </c>
      <c r="C367" s="124" t="s">
        <v>1056</v>
      </c>
      <c r="D367" s="124" t="s">
        <v>1054</v>
      </c>
      <c r="E367" s="150">
        <v>26.428571428571427</v>
      </c>
      <c r="F367" s="150">
        <v>14.857142857142858</v>
      </c>
      <c r="G367" s="150">
        <v>72.857142857142861</v>
      </c>
      <c r="H367" s="150">
        <v>72.857142857142861</v>
      </c>
      <c r="I367" s="150">
        <v>46.428571428571431</v>
      </c>
      <c r="J367" s="150">
        <v>87.714285714285722</v>
      </c>
      <c r="K367" s="445">
        <f t="shared" si="3"/>
        <v>-27.142857142857139</v>
      </c>
      <c r="L367" s="445">
        <f t="shared" si="4"/>
        <v>-53.571428571428569</v>
      </c>
      <c r="M367" s="445">
        <f t="shared" si="5"/>
        <v>-12.285714285714278</v>
      </c>
    </row>
    <row r="368" spans="1:13" x14ac:dyDescent="0.3">
      <c r="A368" s="124" t="s">
        <v>17</v>
      </c>
      <c r="B368" s="124" t="s">
        <v>47</v>
      </c>
      <c r="C368" s="124" t="s">
        <v>1057</v>
      </c>
      <c r="D368" s="124" t="s">
        <v>1054</v>
      </c>
      <c r="E368" s="150">
        <v>19.682539682539687</v>
      </c>
      <c r="F368" s="150">
        <v>9.6825396825396819</v>
      </c>
      <c r="G368" s="150">
        <v>91.428571428571431</v>
      </c>
      <c r="H368" s="150">
        <v>91.428571428571431</v>
      </c>
      <c r="I368" s="150">
        <v>71.746031746031747</v>
      </c>
      <c r="J368" s="150">
        <v>101.11111111111111</v>
      </c>
      <c r="K368" s="445">
        <f t="shared" si="3"/>
        <v>-8.5714285714285694</v>
      </c>
      <c r="L368" s="445">
        <f t="shared" si="4"/>
        <v>-28.253968253968253</v>
      </c>
      <c r="M368" s="445">
        <f t="shared" si="5"/>
        <v>1.1111111111111143</v>
      </c>
    </row>
    <row r="369" spans="1:13" x14ac:dyDescent="0.3">
      <c r="A369" s="124" t="s">
        <v>17</v>
      </c>
      <c r="B369" s="124" t="s">
        <v>47</v>
      </c>
      <c r="C369" s="124" t="s">
        <v>1052</v>
      </c>
      <c r="D369" s="124" t="s">
        <v>1055</v>
      </c>
      <c r="E369" s="150">
        <v>33.877551020408163</v>
      </c>
      <c r="F369" s="150">
        <v>20.69387755102041</v>
      </c>
      <c r="G369" s="150">
        <v>42.857142857142854</v>
      </c>
      <c r="H369" s="150">
        <v>42.857142857142854</v>
      </c>
      <c r="I369" s="150">
        <v>8.9795918367346914</v>
      </c>
      <c r="J369" s="150">
        <v>63.551020408163268</v>
      </c>
      <c r="K369" s="445">
        <f t="shared" si="3"/>
        <v>-57.142857142857146</v>
      </c>
      <c r="L369" s="445">
        <f t="shared" si="4"/>
        <v>-91.020408163265301</v>
      </c>
      <c r="M369" s="445">
        <f t="shared" si="5"/>
        <v>-36.448979591836732</v>
      </c>
    </row>
    <row r="370" spans="1:13" x14ac:dyDescent="0.3">
      <c r="A370" s="124" t="s">
        <v>17</v>
      </c>
      <c r="B370" s="124" t="s">
        <v>47</v>
      </c>
      <c r="C370" s="124" t="s">
        <v>1056</v>
      </c>
      <c r="D370" s="124" t="s">
        <v>1055</v>
      </c>
      <c r="E370" s="150">
        <v>29.877551020408163</v>
      </c>
      <c r="F370" s="150">
        <v>20.285714285714285</v>
      </c>
      <c r="G370" s="150">
        <v>63.571428571428569</v>
      </c>
      <c r="H370" s="150">
        <v>63.571428571428569</v>
      </c>
      <c r="I370" s="150">
        <v>33.693877551020407</v>
      </c>
      <c r="J370" s="150">
        <v>83.857142857142861</v>
      </c>
      <c r="K370" s="445">
        <f t="shared" si="3"/>
        <v>-36.428571428571431</v>
      </c>
      <c r="L370" s="445">
        <f t="shared" si="4"/>
        <v>-66.306122448979593</v>
      </c>
      <c r="M370" s="445">
        <f t="shared" si="5"/>
        <v>-16.142857142857139</v>
      </c>
    </row>
    <row r="371" spans="1:13" x14ac:dyDescent="0.3">
      <c r="A371" s="124" t="s">
        <v>17</v>
      </c>
      <c r="B371" s="146" t="s">
        <v>47</v>
      </c>
      <c r="C371" s="146" t="s">
        <v>1057</v>
      </c>
      <c r="D371" s="124" t="s">
        <v>1055</v>
      </c>
      <c r="E371" s="148">
        <v>35.285714285714285</v>
      </c>
      <c r="F371" s="150">
        <v>19.714285714285715</v>
      </c>
      <c r="G371" s="150">
        <v>75</v>
      </c>
      <c r="H371" s="150">
        <v>75</v>
      </c>
      <c r="I371" s="150">
        <v>39.714285714285715</v>
      </c>
      <c r="J371" s="150">
        <v>94.714285714285722</v>
      </c>
      <c r="K371" s="445">
        <f t="shared" si="3"/>
        <v>-25</v>
      </c>
      <c r="L371" s="445">
        <f t="shared" si="4"/>
        <v>-60.285714285714285</v>
      </c>
      <c r="M371" s="445">
        <f t="shared" si="5"/>
        <v>-5.2857142857142776</v>
      </c>
    </row>
    <row r="372" spans="1:13" x14ac:dyDescent="0.3">
      <c r="A372" s="124" t="s">
        <v>17</v>
      </c>
      <c r="B372" s="124" t="s">
        <v>49</v>
      </c>
      <c r="C372" s="124" t="s">
        <v>1052</v>
      </c>
      <c r="D372" s="124" t="s">
        <v>1053</v>
      </c>
      <c r="E372" s="150">
        <v>24.648526077097504</v>
      </c>
      <c r="F372" s="150">
        <v>22.426303854875279</v>
      </c>
      <c r="G372" s="150">
        <v>63.571428571428569</v>
      </c>
      <c r="H372" s="150">
        <v>63.571428571428569</v>
      </c>
      <c r="I372" s="150">
        <v>38.922902494331069</v>
      </c>
      <c r="J372" s="150">
        <v>85.997732426303855</v>
      </c>
      <c r="K372" s="445">
        <f t="shared" si="3"/>
        <v>-36.428571428571431</v>
      </c>
      <c r="L372" s="445">
        <f t="shared" si="4"/>
        <v>-61.077097505668931</v>
      </c>
      <c r="M372" s="445">
        <f t="shared" si="5"/>
        <v>-14.002267573696145</v>
      </c>
    </row>
    <row r="373" spans="1:13" x14ac:dyDescent="0.3">
      <c r="A373" s="124" t="s">
        <v>17</v>
      </c>
      <c r="B373" s="124" t="s">
        <v>49</v>
      </c>
      <c r="C373" s="124" t="s">
        <v>1056</v>
      </c>
      <c r="D373" s="124" t="s">
        <v>1053</v>
      </c>
      <c r="E373" s="150">
        <v>12.807256235827666</v>
      </c>
      <c r="F373" s="150">
        <v>6.6485260770975048</v>
      </c>
      <c r="G373" s="150">
        <v>83.285714285714292</v>
      </c>
      <c r="H373" s="150">
        <v>83.285714285714292</v>
      </c>
      <c r="I373" s="150">
        <v>70.478458049886626</v>
      </c>
      <c r="J373" s="150">
        <v>89.934240362811792</v>
      </c>
      <c r="K373" s="445">
        <f t="shared" si="3"/>
        <v>-16.714285714285708</v>
      </c>
      <c r="L373" s="445">
        <f t="shared" si="4"/>
        <v>-29.521541950113374</v>
      </c>
      <c r="M373" s="445">
        <f t="shared" si="5"/>
        <v>-10.065759637188208</v>
      </c>
    </row>
    <row r="374" spans="1:13" x14ac:dyDescent="0.3">
      <c r="A374" s="124" t="s">
        <v>17</v>
      </c>
      <c r="B374" s="124" t="s">
        <v>49</v>
      </c>
      <c r="C374" s="124" t="s">
        <v>1057</v>
      </c>
      <c r="D374" s="124" t="s">
        <v>1053</v>
      </c>
      <c r="E374" s="150">
        <v>0</v>
      </c>
      <c r="F374" s="150">
        <v>0</v>
      </c>
      <c r="G374" s="150">
        <v>100</v>
      </c>
      <c r="H374" s="150">
        <v>100</v>
      </c>
      <c r="I374" s="150">
        <v>100</v>
      </c>
      <c r="J374" s="150">
        <v>100</v>
      </c>
      <c r="K374" s="445">
        <f t="shared" si="3"/>
        <v>0</v>
      </c>
      <c r="L374" s="445">
        <f t="shared" si="4"/>
        <v>0</v>
      </c>
      <c r="M374" s="445">
        <f t="shared" si="5"/>
        <v>0</v>
      </c>
    </row>
    <row r="375" spans="1:13" x14ac:dyDescent="0.3">
      <c r="A375" s="124" t="s">
        <v>17</v>
      </c>
      <c r="B375" s="146" t="s">
        <v>49</v>
      </c>
      <c r="C375" s="124" t="s">
        <v>1052</v>
      </c>
      <c r="D375" s="146" t="s">
        <v>1054</v>
      </c>
      <c r="E375" s="150">
        <v>31.632653061224488</v>
      </c>
      <c r="F375" s="150">
        <v>25.204081632653061</v>
      </c>
      <c r="G375" s="150">
        <v>50</v>
      </c>
      <c r="H375" s="150">
        <v>50</v>
      </c>
      <c r="I375" s="150">
        <v>18.367346938775512</v>
      </c>
      <c r="J375" s="150">
        <v>75.204081632653057</v>
      </c>
      <c r="K375" s="445">
        <f t="shared" si="3"/>
        <v>-50</v>
      </c>
      <c r="L375" s="445">
        <f t="shared" si="4"/>
        <v>-81.632653061224488</v>
      </c>
      <c r="M375" s="445">
        <f t="shared" si="5"/>
        <v>-24.795918367346943</v>
      </c>
    </row>
    <row r="376" spans="1:13" x14ac:dyDescent="0.3">
      <c r="A376" s="124" t="s">
        <v>17</v>
      </c>
      <c r="B376" s="124" t="s">
        <v>49</v>
      </c>
      <c r="C376" s="124" t="s">
        <v>1056</v>
      </c>
      <c r="D376" s="124" t="s">
        <v>1054</v>
      </c>
      <c r="E376" s="150">
        <v>22.857142857142858</v>
      </c>
      <c r="F376" s="150">
        <v>12.142857142857142</v>
      </c>
      <c r="G376" s="150">
        <v>77.857142857142861</v>
      </c>
      <c r="H376" s="150">
        <v>77.857142857142861</v>
      </c>
      <c r="I376" s="150">
        <v>55</v>
      </c>
      <c r="J376" s="150">
        <v>90</v>
      </c>
      <c r="K376" s="445">
        <f t="shared" si="3"/>
        <v>-22.142857142857139</v>
      </c>
      <c r="L376" s="445">
        <f t="shared" si="4"/>
        <v>-45</v>
      </c>
      <c r="M376" s="445">
        <f t="shared" si="5"/>
        <v>-10</v>
      </c>
    </row>
    <row r="377" spans="1:13" x14ac:dyDescent="0.3">
      <c r="A377" s="124" t="s">
        <v>17</v>
      </c>
      <c r="B377" s="124" t="s">
        <v>49</v>
      </c>
      <c r="C377" s="124" t="s">
        <v>1057</v>
      </c>
      <c r="D377" s="124" t="s">
        <v>1054</v>
      </c>
      <c r="E377" s="150">
        <v>12.38095238095238</v>
      </c>
      <c r="F377" s="150">
        <v>12.222222222222223</v>
      </c>
      <c r="G377" s="150">
        <v>89.285714285714292</v>
      </c>
      <c r="H377" s="150">
        <v>89.285714285714292</v>
      </c>
      <c r="I377" s="150">
        <v>76.904761904761912</v>
      </c>
      <c r="J377" s="150">
        <v>101.50793650793652</v>
      </c>
      <c r="K377" s="445">
        <f t="shared" si="3"/>
        <v>-10.714285714285708</v>
      </c>
      <c r="L377" s="445">
        <f t="shared" si="4"/>
        <v>-23.095238095238088</v>
      </c>
      <c r="M377" s="445">
        <f t="shared" si="5"/>
        <v>1.5079365079365203</v>
      </c>
    </row>
    <row r="378" spans="1:13" x14ac:dyDescent="0.3">
      <c r="A378" s="124" t="s">
        <v>17</v>
      </c>
      <c r="B378" s="124" t="s">
        <v>49</v>
      </c>
      <c r="C378" s="124" t="s">
        <v>1052</v>
      </c>
      <c r="D378" s="124" t="s">
        <v>1055</v>
      </c>
      <c r="E378" s="150">
        <v>38.435374149659864</v>
      </c>
      <c r="F378" s="150">
        <v>24.897959183673468</v>
      </c>
      <c r="G378" s="150">
        <v>47.857142857142854</v>
      </c>
      <c r="H378" s="150">
        <v>47.857142857142854</v>
      </c>
      <c r="I378" s="150">
        <v>9.4217687074829897</v>
      </c>
      <c r="J378" s="150">
        <v>72.755102040816325</v>
      </c>
      <c r="K378" s="445">
        <f t="shared" si="3"/>
        <v>-52.142857142857146</v>
      </c>
      <c r="L378" s="445">
        <f t="shared" si="4"/>
        <v>-90.578231292517017</v>
      </c>
      <c r="M378" s="445">
        <f t="shared" si="5"/>
        <v>-27.244897959183675</v>
      </c>
    </row>
    <row r="379" spans="1:13" x14ac:dyDescent="0.3">
      <c r="A379" s="124" t="s">
        <v>17</v>
      </c>
      <c r="B379" s="124" t="s">
        <v>49</v>
      </c>
      <c r="C379" s="124" t="s">
        <v>1056</v>
      </c>
      <c r="D379" s="124" t="s">
        <v>1055</v>
      </c>
      <c r="E379" s="150">
        <v>19.591836734693878</v>
      </c>
      <c r="F379" s="150">
        <v>17.142857142857142</v>
      </c>
      <c r="G379" s="150">
        <v>66.428571428571431</v>
      </c>
      <c r="H379" s="150">
        <v>66.428571428571431</v>
      </c>
      <c r="I379" s="150">
        <v>46.836734693877553</v>
      </c>
      <c r="J379" s="150">
        <v>83.571428571428569</v>
      </c>
      <c r="K379" s="445">
        <f t="shared" si="3"/>
        <v>-33.571428571428569</v>
      </c>
      <c r="L379" s="445">
        <f t="shared" si="4"/>
        <v>-53.163265306122447</v>
      </c>
      <c r="M379" s="445">
        <f t="shared" si="5"/>
        <v>-16.428571428571431</v>
      </c>
    </row>
    <row r="380" spans="1:13" x14ac:dyDescent="0.3">
      <c r="A380" s="124" t="s">
        <v>17</v>
      </c>
      <c r="B380" s="146" t="s">
        <v>49</v>
      </c>
      <c r="C380" s="146" t="s">
        <v>1057</v>
      </c>
      <c r="D380" s="124" t="s">
        <v>1055</v>
      </c>
      <c r="E380" s="148">
        <v>23.979591836734695</v>
      </c>
      <c r="F380" s="150">
        <v>18.775510204081634</v>
      </c>
      <c r="G380" s="150">
        <v>75.714285714285708</v>
      </c>
      <c r="H380" s="150">
        <v>75.714285714285708</v>
      </c>
      <c r="I380" s="150">
        <v>51.73469387755101</v>
      </c>
      <c r="J380" s="150">
        <v>94.489795918367349</v>
      </c>
      <c r="K380" s="445">
        <f t="shared" si="3"/>
        <v>-24.285714285714292</v>
      </c>
      <c r="L380" s="445">
        <f t="shared" si="4"/>
        <v>-48.26530612244899</v>
      </c>
      <c r="M380" s="445">
        <f t="shared" si="5"/>
        <v>-5.5102040816326507</v>
      </c>
    </row>
    <row r="381" spans="1:13" x14ac:dyDescent="0.3">
      <c r="A381" s="124" t="s">
        <v>17</v>
      </c>
      <c r="B381" s="124" t="s">
        <v>51</v>
      </c>
      <c r="C381" s="124" t="s">
        <v>1052</v>
      </c>
      <c r="D381" s="124" t="s">
        <v>1053</v>
      </c>
      <c r="E381" s="150">
        <v>24.455782312925169</v>
      </c>
      <c r="F381" s="150">
        <v>17.789115646258502</v>
      </c>
      <c r="G381" s="150">
        <v>63.571428571428569</v>
      </c>
      <c r="H381" s="150">
        <v>63.571428571428569</v>
      </c>
      <c r="I381" s="150">
        <v>39.115646258503403</v>
      </c>
      <c r="J381" s="150">
        <v>81.360544217687078</v>
      </c>
      <c r="K381" s="445">
        <f t="shared" si="3"/>
        <v>-36.428571428571431</v>
      </c>
      <c r="L381" s="445">
        <f t="shared" si="4"/>
        <v>-60.884353741496597</v>
      </c>
      <c r="M381" s="445">
        <f t="shared" si="5"/>
        <v>-18.639455782312922</v>
      </c>
    </row>
    <row r="382" spans="1:13" x14ac:dyDescent="0.3">
      <c r="A382" s="124" t="s">
        <v>17</v>
      </c>
      <c r="B382" s="124" t="s">
        <v>51</v>
      </c>
      <c r="C382" s="124" t="s">
        <v>1056</v>
      </c>
      <c r="D382" s="124" t="s">
        <v>1053</v>
      </c>
      <c r="E382" s="150">
        <v>21.009070294784582</v>
      </c>
      <c r="F382" s="150">
        <v>14.614512471655328</v>
      </c>
      <c r="G382" s="150">
        <v>82.857142857142861</v>
      </c>
      <c r="H382" s="150">
        <v>82.857142857142861</v>
      </c>
      <c r="I382" s="150">
        <v>61.848072562358283</v>
      </c>
      <c r="J382" s="150">
        <v>97.471655328798192</v>
      </c>
      <c r="K382" s="445">
        <f t="shared" si="3"/>
        <v>-17.142857142857139</v>
      </c>
      <c r="L382" s="445">
        <f t="shared" si="4"/>
        <v>-38.151927437641717</v>
      </c>
      <c r="M382" s="445">
        <f t="shared" si="5"/>
        <v>-2.5283446712018076</v>
      </c>
    </row>
    <row r="383" spans="1:13" x14ac:dyDescent="0.3">
      <c r="A383" s="124" t="s">
        <v>17</v>
      </c>
      <c r="B383" s="124" t="s">
        <v>51</v>
      </c>
      <c r="C383" s="124" t="s">
        <v>1057</v>
      </c>
      <c r="D383" s="124" t="s">
        <v>1053</v>
      </c>
      <c r="E383" s="150">
        <v>0</v>
      </c>
      <c r="F383" s="150">
        <v>0</v>
      </c>
      <c r="G383" s="150">
        <v>100</v>
      </c>
      <c r="H383" s="150">
        <v>100</v>
      </c>
      <c r="I383" s="150">
        <v>100</v>
      </c>
      <c r="J383" s="150">
        <v>100</v>
      </c>
      <c r="K383" s="445">
        <f t="shared" ref="K383:K446" si="6">0-(100-H383)</f>
        <v>0</v>
      </c>
      <c r="L383" s="445">
        <f t="shared" ref="L383:L446" si="7">0-(100-I383)</f>
        <v>0</v>
      </c>
      <c r="M383" s="445">
        <f t="shared" ref="M383:M446" si="8">0-(100-J383)</f>
        <v>0</v>
      </c>
    </row>
    <row r="384" spans="1:13" x14ac:dyDescent="0.3">
      <c r="A384" s="124" t="s">
        <v>17</v>
      </c>
      <c r="B384" s="146" t="s">
        <v>51</v>
      </c>
      <c r="C384" s="146" t="s">
        <v>1052</v>
      </c>
      <c r="D384" s="146" t="s">
        <v>1054</v>
      </c>
      <c r="E384" s="148">
        <v>23.521408563425371</v>
      </c>
      <c r="F384" s="148">
        <v>19.823929571828728</v>
      </c>
      <c r="G384" s="148">
        <v>47.142857142857146</v>
      </c>
      <c r="H384" s="148">
        <v>47.142857142857146</v>
      </c>
      <c r="I384" s="148">
        <v>23.621448579431775</v>
      </c>
      <c r="J384" s="148">
        <v>66.966786714685867</v>
      </c>
      <c r="K384" s="445">
        <f t="shared" si="6"/>
        <v>-52.857142857142854</v>
      </c>
      <c r="L384" s="445">
        <f t="shared" si="7"/>
        <v>-76.378551420568229</v>
      </c>
      <c r="M384" s="445">
        <f t="shared" si="8"/>
        <v>-33.033213285314133</v>
      </c>
    </row>
    <row r="385" spans="1:13" x14ac:dyDescent="0.3">
      <c r="A385" s="124" t="s">
        <v>17</v>
      </c>
      <c r="B385" s="124" t="s">
        <v>51</v>
      </c>
      <c r="C385" s="124" t="s">
        <v>1056</v>
      </c>
      <c r="D385" s="124" t="s">
        <v>1054</v>
      </c>
      <c r="E385" s="150">
        <v>20.85034013605442</v>
      </c>
      <c r="F385" s="150">
        <v>17.947845804988663</v>
      </c>
      <c r="G385" s="150">
        <v>72.142857142857139</v>
      </c>
      <c r="H385" s="150">
        <v>72.142857142857139</v>
      </c>
      <c r="I385" s="150">
        <v>51.292517006802719</v>
      </c>
      <c r="J385" s="150">
        <v>90.090702947845799</v>
      </c>
      <c r="K385" s="445">
        <f t="shared" si="6"/>
        <v>-27.857142857142861</v>
      </c>
      <c r="L385" s="445">
        <f t="shared" si="7"/>
        <v>-48.707482993197281</v>
      </c>
      <c r="M385" s="445">
        <f t="shared" si="8"/>
        <v>-9.9092970521542014</v>
      </c>
    </row>
    <row r="386" spans="1:13" x14ac:dyDescent="0.3">
      <c r="A386" s="124" t="s">
        <v>17</v>
      </c>
      <c r="B386" s="124" t="s">
        <v>51</v>
      </c>
      <c r="C386" s="124" t="s">
        <v>1057</v>
      </c>
      <c r="D386" s="124" t="s">
        <v>1054</v>
      </c>
      <c r="E386" s="150">
        <v>10.793650793650793</v>
      </c>
      <c r="F386" s="150">
        <v>11.111111111111111</v>
      </c>
      <c r="G386" s="150">
        <v>92.857142857142861</v>
      </c>
      <c r="H386" s="150">
        <v>92.857142857142861</v>
      </c>
      <c r="I386" s="150">
        <v>82.063492063492063</v>
      </c>
      <c r="J386" s="150">
        <v>103.96825396825398</v>
      </c>
      <c r="K386" s="445">
        <f t="shared" si="6"/>
        <v>-7.1428571428571388</v>
      </c>
      <c r="L386" s="445">
        <f t="shared" si="7"/>
        <v>-17.936507936507937</v>
      </c>
      <c r="M386" s="445">
        <f t="shared" si="8"/>
        <v>3.9682539682539755</v>
      </c>
    </row>
    <row r="387" spans="1:13" x14ac:dyDescent="0.3">
      <c r="A387" s="124" t="s">
        <v>17</v>
      </c>
      <c r="B387" s="124" t="s">
        <v>51</v>
      </c>
      <c r="C387" s="124" t="s">
        <v>1052</v>
      </c>
      <c r="D387" s="124" t="s">
        <v>1055</v>
      </c>
      <c r="E387" s="150">
        <v>32.698412698412696</v>
      </c>
      <c r="F387" s="150">
        <v>20.634920634920633</v>
      </c>
      <c r="G387" s="150">
        <v>54.285714285714285</v>
      </c>
      <c r="H387" s="150">
        <v>54.285714285714285</v>
      </c>
      <c r="I387" s="150">
        <v>21.587301587301589</v>
      </c>
      <c r="J387" s="150">
        <v>74.92063492063491</v>
      </c>
      <c r="K387" s="445">
        <f t="shared" si="6"/>
        <v>-45.714285714285715</v>
      </c>
      <c r="L387" s="445">
        <f t="shared" si="7"/>
        <v>-78.412698412698404</v>
      </c>
      <c r="M387" s="445">
        <f t="shared" si="8"/>
        <v>-25.07936507936509</v>
      </c>
    </row>
    <row r="388" spans="1:13" x14ac:dyDescent="0.3">
      <c r="A388" s="124" t="s">
        <v>17</v>
      </c>
      <c r="B388" s="124" t="s">
        <v>51</v>
      </c>
      <c r="C388" s="124" t="s">
        <v>1056</v>
      </c>
      <c r="D388" s="124" t="s">
        <v>1055</v>
      </c>
      <c r="E388" s="150">
        <v>32.94784580498866</v>
      </c>
      <c r="F388" s="150">
        <v>21.927437641723355</v>
      </c>
      <c r="G388" s="150">
        <v>65.714285714285708</v>
      </c>
      <c r="H388" s="150">
        <v>65.714285714285708</v>
      </c>
      <c r="I388" s="150">
        <v>32.766439909297048</v>
      </c>
      <c r="J388" s="150">
        <v>87.641723356009066</v>
      </c>
      <c r="K388" s="445">
        <f t="shared" si="6"/>
        <v>-34.285714285714292</v>
      </c>
      <c r="L388" s="445">
        <f t="shared" si="7"/>
        <v>-67.233560090702952</v>
      </c>
      <c r="M388" s="445">
        <f t="shared" si="8"/>
        <v>-12.358276643990934</v>
      </c>
    </row>
    <row r="389" spans="1:13" x14ac:dyDescent="0.3">
      <c r="A389" s="124" t="s">
        <v>17</v>
      </c>
      <c r="B389" s="146" t="s">
        <v>51</v>
      </c>
      <c r="C389" s="146" t="s">
        <v>1057</v>
      </c>
      <c r="D389" s="124" t="s">
        <v>1055</v>
      </c>
      <c r="E389" s="148">
        <v>19.637188208616781</v>
      </c>
      <c r="F389" s="150">
        <v>35.714285714285715</v>
      </c>
      <c r="G389" s="150">
        <v>76.428571428571431</v>
      </c>
      <c r="H389" s="150">
        <v>76.428571428571431</v>
      </c>
      <c r="I389" s="150">
        <v>56.791383219954653</v>
      </c>
      <c r="J389" s="150">
        <v>112.14285714285714</v>
      </c>
      <c r="K389" s="445">
        <f t="shared" si="6"/>
        <v>-23.571428571428569</v>
      </c>
      <c r="L389" s="445">
        <f t="shared" si="7"/>
        <v>-43.208616780045347</v>
      </c>
      <c r="M389" s="445">
        <f t="shared" si="8"/>
        <v>12.142857142857139</v>
      </c>
    </row>
    <row r="390" spans="1:13" x14ac:dyDescent="0.3">
      <c r="A390" s="124" t="s">
        <v>17</v>
      </c>
      <c r="B390" s="124" t="s">
        <v>53</v>
      </c>
      <c r="C390" s="124" t="s">
        <v>1052</v>
      </c>
      <c r="D390" s="124" t="s">
        <v>1053</v>
      </c>
      <c r="E390" s="150">
        <v>32.027210884353742</v>
      </c>
      <c r="F390" s="150">
        <v>11.106575963718821</v>
      </c>
      <c r="G390" s="150">
        <v>60</v>
      </c>
      <c r="H390" s="150">
        <v>60</v>
      </c>
      <c r="I390" s="150">
        <v>27.972789115646258</v>
      </c>
      <c r="J390" s="150">
        <v>71.106575963718825</v>
      </c>
      <c r="K390" s="445">
        <f t="shared" si="6"/>
        <v>-40</v>
      </c>
      <c r="L390" s="445">
        <f t="shared" si="7"/>
        <v>-72.027210884353735</v>
      </c>
      <c r="M390" s="445">
        <f t="shared" si="8"/>
        <v>-28.893424036281175</v>
      </c>
    </row>
    <row r="391" spans="1:13" x14ac:dyDescent="0.3">
      <c r="A391" s="124" t="s">
        <v>17</v>
      </c>
      <c r="B391" s="124" t="s">
        <v>53</v>
      </c>
      <c r="C391" s="124" t="s">
        <v>1056</v>
      </c>
      <c r="D391" s="124" t="s">
        <v>1053</v>
      </c>
      <c r="E391" s="150">
        <v>21.031746031746032</v>
      </c>
      <c r="F391" s="150">
        <v>12.936507936507937</v>
      </c>
      <c r="G391" s="150">
        <v>75.714285714285708</v>
      </c>
      <c r="H391" s="150">
        <v>75.714285714285708</v>
      </c>
      <c r="I391" s="150">
        <v>54.682539682539677</v>
      </c>
      <c r="J391" s="150">
        <v>88.650793650793645</v>
      </c>
      <c r="K391" s="445">
        <f t="shared" si="6"/>
        <v>-24.285714285714292</v>
      </c>
      <c r="L391" s="445">
        <f t="shared" si="7"/>
        <v>-45.317460317460323</v>
      </c>
      <c r="M391" s="445">
        <f t="shared" si="8"/>
        <v>-11.349206349206355</v>
      </c>
    </row>
    <row r="392" spans="1:13" x14ac:dyDescent="0.3">
      <c r="A392" s="124" t="s">
        <v>17</v>
      </c>
      <c r="B392" s="124" t="s">
        <v>53</v>
      </c>
      <c r="C392" s="124" t="s">
        <v>1057</v>
      </c>
      <c r="D392" s="124" t="s">
        <v>1053</v>
      </c>
      <c r="E392" s="150">
        <v>0</v>
      </c>
      <c r="F392" s="150">
        <v>0</v>
      </c>
      <c r="G392" s="150">
        <v>100</v>
      </c>
      <c r="H392" s="150">
        <v>100</v>
      </c>
      <c r="I392" s="150">
        <v>100</v>
      </c>
      <c r="J392" s="150">
        <v>100</v>
      </c>
      <c r="K392" s="445">
        <f t="shared" si="6"/>
        <v>0</v>
      </c>
      <c r="L392" s="445">
        <f t="shared" si="7"/>
        <v>0</v>
      </c>
      <c r="M392" s="445">
        <f t="shared" si="8"/>
        <v>0</v>
      </c>
    </row>
    <row r="393" spans="1:13" x14ac:dyDescent="0.3">
      <c r="A393" s="124" t="s">
        <v>17</v>
      </c>
      <c r="B393" s="146" t="s">
        <v>53</v>
      </c>
      <c r="C393" s="124" t="s">
        <v>1052</v>
      </c>
      <c r="D393" s="146" t="s">
        <v>1054</v>
      </c>
      <c r="E393" s="150">
        <v>27.836734693877553</v>
      </c>
      <c r="F393" s="150">
        <v>18.142857142857142</v>
      </c>
      <c r="G393" s="150">
        <v>40</v>
      </c>
      <c r="H393" s="150">
        <v>40</v>
      </c>
      <c r="I393" s="150">
        <v>12.163265306122447</v>
      </c>
      <c r="J393" s="150">
        <v>58.142857142857139</v>
      </c>
      <c r="K393" s="445">
        <f t="shared" si="6"/>
        <v>-60</v>
      </c>
      <c r="L393" s="445">
        <f t="shared" si="7"/>
        <v>-87.83673469387756</v>
      </c>
      <c r="M393" s="445">
        <f t="shared" si="8"/>
        <v>-41.857142857142861</v>
      </c>
    </row>
    <row r="394" spans="1:13" x14ac:dyDescent="0.3">
      <c r="A394" s="124" t="s">
        <v>17</v>
      </c>
      <c r="B394" s="124" t="s">
        <v>53</v>
      </c>
      <c r="C394" s="124" t="s">
        <v>1056</v>
      </c>
      <c r="D394" s="124" t="s">
        <v>1054</v>
      </c>
      <c r="E394" s="150">
        <v>21.428571428571427</v>
      </c>
      <c r="F394" s="150">
        <v>14.761904761904761</v>
      </c>
      <c r="G394" s="150">
        <v>64.285714285714292</v>
      </c>
      <c r="H394" s="150">
        <v>64.285714285714292</v>
      </c>
      <c r="I394" s="150">
        <v>42.857142857142861</v>
      </c>
      <c r="J394" s="150">
        <v>79.047619047619051</v>
      </c>
      <c r="K394" s="445">
        <f t="shared" si="6"/>
        <v>-35.714285714285708</v>
      </c>
      <c r="L394" s="445">
        <f t="shared" si="7"/>
        <v>-57.142857142857139</v>
      </c>
      <c r="M394" s="445">
        <f t="shared" si="8"/>
        <v>-20.952380952380949</v>
      </c>
    </row>
    <row r="395" spans="1:13" x14ac:dyDescent="0.3">
      <c r="A395" s="124" t="s">
        <v>17</v>
      </c>
      <c r="B395" s="124" t="s">
        <v>53</v>
      </c>
      <c r="C395" s="124" t="s">
        <v>1057</v>
      </c>
      <c r="D395" s="124" t="s">
        <v>1054</v>
      </c>
      <c r="E395" s="150">
        <v>15.328798185941043</v>
      </c>
      <c r="F395" s="150">
        <v>11.598639455782314</v>
      </c>
      <c r="G395" s="150">
        <v>83.571428571428569</v>
      </c>
      <c r="H395" s="150">
        <v>83.571428571428569</v>
      </c>
      <c r="I395" s="150">
        <v>68.24263038548753</v>
      </c>
      <c r="J395" s="150">
        <v>95.170068027210888</v>
      </c>
      <c r="K395" s="445">
        <f t="shared" si="6"/>
        <v>-16.428571428571431</v>
      </c>
      <c r="L395" s="445">
        <f t="shared" si="7"/>
        <v>-31.75736961451247</v>
      </c>
      <c r="M395" s="445">
        <f t="shared" si="8"/>
        <v>-4.8299319727891117</v>
      </c>
    </row>
    <row r="396" spans="1:13" x14ac:dyDescent="0.3">
      <c r="A396" s="124" t="s">
        <v>17</v>
      </c>
      <c r="B396" s="124" t="s">
        <v>53</v>
      </c>
      <c r="C396" s="124" t="s">
        <v>1052</v>
      </c>
      <c r="D396" s="124" t="s">
        <v>1055</v>
      </c>
      <c r="E396" s="150">
        <v>30.353741496598641</v>
      </c>
      <c r="F396" s="150">
        <v>22.122448979591837</v>
      </c>
      <c r="G396" s="150">
        <v>35.714285714285715</v>
      </c>
      <c r="H396" s="150">
        <v>35.714285714285715</v>
      </c>
      <c r="I396" s="150">
        <v>5.3605442176870746</v>
      </c>
      <c r="J396" s="150">
        <v>57.836734693877553</v>
      </c>
      <c r="K396" s="445">
        <f t="shared" si="6"/>
        <v>-64.285714285714278</v>
      </c>
      <c r="L396" s="445">
        <f t="shared" si="7"/>
        <v>-94.639455782312922</v>
      </c>
      <c r="M396" s="445">
        <f t="shared" si="8"/>
        <v>-42.163265306122447</v>
      </c>
    </row>
    <row r="397" spans="1:13" x14ac:dyDescent="0.3">
      <c r="A397" s="124" t="s">
        <v>17</v>
      </c>
      <c r="B397" s="124" t="s">
        <v>53</v>
      </c>
      <c r="C397" s="124" t="s">
        <v>1056</v>
      </c>
      <c r="D397" s="124" t="s">
        <v>1055</v>
      </c>
      <c r="E397" s="150">
        <v>26.30612244897959</v>
      </c>
      <c r="F397" s="150">
        <v>20.04081632653061</v>
      </c>
      <c r="G397" s="150">
        <v>50.714285714285715</v>
      </c>
      <c r="H397" s="150">
        <v>50.714285714285715</v>
      </c>
      <c r="I397" s="150">
        <v>24.408163265306126</v>
      </c>
      <c r="J397" s="150">
        <v>70.755102040816325</v>
      </c>
      <c r="K397" s="445">
        <f t="shared" si="6"/>
        <v>-49.285714285714285</v>
      </c>
      <c r="L397" s="445">
        <f t="shared" si="7"/>
        <v>-75.591836734693871</v>
      </c>
      <c r="M397" s="445">
        <f t="shared" si="8"/>
        <v>-29.244897959183675</v>
      </c>
    </row>
    <row r="398" spans="1:13" x14ac:dyDescent="0.3">
      <c r="A398" s="124" t="s">
        <v>17</v>
      </c>
      <c r="B398" s="146" t="s">
        <v>53</v>
      </c>
      <c r="C398" s="146" t="s">
        <v>1057</v>
      </c>
      <c r="D398" s="124" t="s">
        <v>1055</v>
      </c>
      <c r="E398" s="148">
        <v>20.442176870748302</v>
      </c>
      <c r="F398" s="150">
        <v>21.553287981859409</v>
      </c>
      <c r="G398" s="150">
        <v>60.714285714285715</v>
      </c>
      <c r="H398" s="150">
        <v>60.714285714285715</v>
      </c>
      <c r="I398" s="150">
        <v>40.27210884353741</v>
      </c>
      <c r="J398" s="150">
        <v>82.267573696145121</v>
      </c>
      <c r="K398" s="445">
        <f t="shared" si="6"/>
        <v>-39.285714285714285</v>
      </c>
      <c r="L398" s="445">
        <f t="shared" si="7"/>
        <v>-59.72789115646259</v>
      </c>
      <c r="M398" s="445">
        <f t="shared" si="8"/>
        <v>-17.732426303854879</v>
      </c>
    </row>
    <row r="399" spans="1:13" x14ac:dyDescent="0.3">
      <c r="A399" s="124" t="s">
        <v>181</v>
      </c>
      <c r="B399" s="124" t="s">
        <v>184</v>
      </c>
      <c r="C399" s="124" t="s">
        <v>1052</v>
      </c>
      <c r="D399" s="124" t="s">
        <v>1053</v>
      </c>
      <c r="E399" s="124">
        <v>19.002267573696145</v>
      </c>
      <c r="F399" s="124">
        <v>21.904761904761905</v>
      </c>
      <c r="G399" s="124">
        <v>57.857142857142854</v>
      </c>
      <c r="H399" s="124">
        <v>57.857142857142854</v>
      </c>
      <c r="I399" s="124">
        <v>38.854875283446709</v>
      </c>
      <c r="J399" s="124">
        <v>79.761904761904759</v>
      </c>
      <c r="K399" s="445">
        <f t="shared" si="6"/>
        <v>-42.142857142857146</v>
      </c>
      <c r="L399" s="445">
        <f t="shared" si="7"/>
        <v>-61.145124716553291</v>
      </c>
      <c r="M399" s="445">
        <f t="shared" si="8"/>
        <v>-20.238095238095241</v>
      </c>
    </row>
    <row r="400" spans="1:13" x14ac:dyDescent="0.3">
      <c r="A400" s="124" t="s">
        <v>181</v>
      </c>
      <c r="B400" s="124" t="s">
        <v>184</v>
      </c>
      <c r="C400" s="146" t="s">
        <v>1056</v>
      </c>
      <c r="D400" s="146" t="s">
        <v>1053</v>
      </c>
      <c r="E400" s="124">
        <v>16.009070294784578</v>
      </c>
      <c r="F400" s="124">
        <v>16.927437641723355</v>
      </c>
      <c r="G400" s="124">
        <v>80</v>
      </c>
      <c r="H400" s="124">
        <v>80</v>
      </c>
      <c r="I400" s="124">
        <v>63.990929705215422</v>
      </c>
      <c r="J400" s="124">
        <v>96.927437641723358</v>
      </c>
      <c r="K400" s="445">
        <f t="shared" si="6"/>
        <v>-20</v>
      </c>
      <c r="L400" s="445">
        <f t="shared" si="7"/>
        <v>-36.009070294784578</v>
      </c>
      <c r="M400" s="445">
        <f t="shared" si="8"/>
        <v>-3.0725623582766417</v>
      </c>
    </row>
    <row r="401" spans="1:13" x14ac:dyDescent="0.3">
      <c r="A401" s="124" t="s">
        <v>181</v>
      </c>
      <c r="B401" s="146" t="s">
        <v>184</v>
      </c>
      <c r="C401" s="146" t="s">
        <v>1057</v>
      </c>
      <c r="D401" s="146" t="s">
        <v>1053</v>
      </c>
      <c r="E401" s="146">
        <v>0</v>
      </c>
      <c r="F401" s="146">
        <v>0</v>
      </c>
      <c r="G401" s="146">
        <v>100</v>
      </c>
      <c r="H401" s="146">
        <v>100</v>
      </c>
      <c r="I401" s="146">
        <v>100</v>
      </c>
      <c r="J401" s="146">
        <v>100</v>
      </c>
      <c r="K401" s="445">
        <f t="shared" si="6"/>
        <v>0</v>
      </c>
      <c r="L401" s="445">
        <f t="shared" si="7"/>
        <v>0</v>
      </c>
      <c r="M401" s="445">
        <f t="shared" si="8"/>
        <v>0</v>
      </c>
    </row>
    <row r="402" spans="1:13" x14ac:dyDescent="0.3">
      <c r="A402" s="124" t="s">
        <v>181</v>
      </c>
      <c r="B402" s="146" t="s">
        <v>184</v>
      </c>
      <c r="C402" s="124" t="s">
        <v>1052</v>
      </c>
      <c r="D402" s="146" t="s">
        <v>1054</v>
      </c>
      <c r="E402" s="124">
        <v>30.081365879685205</v>
      </c>
      <c r="F402" s="124">
        <v>21.981459250366811</v>
      </c>
      <c r="G402" s="124">
        <v>70</v>
      </c>
      <c r="H402" s="124">
        <v>70</v>
      </c>
      <c r="I402" s="124">
        <v>39.918634120314792</v>
      </c>
      <c r="J402" s="124">
        <v>91.981459250366811</v>
      </c>
      <c r="K402" s="445">
        <f t="shared" si="6"/>
        <v>-30</v>
      </c>
      <c r="L402" s="445">
        <f t="shared" si="7"/>
        <v>-60.081365879685208</v>
      </c>
      <c r="M402" s="445">
        <f t="shared" si="8"/>
        <v>-8.0185407496331891</v>
      </c>
    </row>
    <row r="403" spans="1:13" x14ac:dyDescent="0.3">
      <c r="A403" s="124" t="s">
        <v>181</v>
      </c>
      <c r="B403" s="146" t="s">
        <v>184</v>
      </c>
      <c r="C403" s="124" t="s">
        <v>1056</v>
      </c>
      <c r="D403" s="124" t="s">
        <v>1054</v>
      </c>
      <c r="E403" s="124">
        <v>23.657462985194076</v>
      </c>
      <c r="F403" s="124">
        <v>14.041616646658664</v>
      </c>
      <c r="G403" s="124">
        <v>89.285714285714292</v>
      </c>
      <c r="H403" s="124">
        <v>89.285714285714292</v>
      </c>
      <c r="I403" s="124">
        <v>65.628251300520219</v>
      </c>
      <c r="J403" s="124">
        <v>103.32733093237296</v>
      </c>
      <c r="K403" s="445">
        <f t="shared" si="6"/>
        <v>-10.714285714285708</v>
      </c>
      <c r="L403" s="445">
        <f t="shared" si="7"/>
        <v>-34.371748699479781</v>
      </c>
      <c r="M403" s="445">
        <f t="shared" si="8"/>
        <v>3.3273309323729592</v>
      </c>
    </row>
    <row r="404" spans="1:13" x14ac:dyDescent="0.3">
      <c r="A404" s="124" t="s">
        <v>181</v>
      </c>
      <c r="B404" s="146" t="s">
        <v>184</v>
      </c>
      <c r="C404" s="124" t="s">
        <v>1057</v>
      </c>
      <c r="D404" s="124" t="s">
        <v>1054</v>
      </c>
      <c r="E404" s="124">
        <v>6.6984126984126977</v>
      </c>
      <c r="F404" s="124">
        <v>8.9206349206349209</v>
      </c>
      <c r="G404" s="124">
        <v>98.571428571428569</v>
      </c>
      <c r="H404" s="124">
        <v>98.571428571428569</v>
      </c>
      <c r="I404" s="124">
        <v>91.873015873015873</v>
      </c>
      <c r="J404" s="124">
        <v>107.49206349206349</v>
      </c>
      <c r="K404" s="445">
        <f t="shared" si="6"/>
        <v>-1.4285714285714306</v>
      </c>
      <c r="L404" s="445">
        <f t="shared" si="7"/>
        <v>-8.1269841269841265</v>
      </c>
      <c r="M404" s="445">
        <f t="shared" si="8"/>
        <v>7.4920634920634939</v>
      </c>
    </row>
    <row r="405" spans="1:13" x14ac:dyDescent="0.3">
      <c r="A405" s="124" t="s">
        <v>181</v>
      </c>
      <c r="B405" s="146" t="s">
        <v>184</v>
      </c>
      <c r="C405" s="146" t="s">
        <v>1052</v>
      </c>
      <c r="D405" s="146" t="s">
        <v>1055</v>
      </c>
      <c r="E405" s="146">
        <v>40.678938241963451</v>
      </c>
      <c r="F405" s="124">
        <v>12.861144457783112</v>
      </c>
      <c r="G405" s="124">
        <v>89.285714285714292</v>
      </c>
      <c r="H405" s="124">
        <v>89.285714285714292</v>
      </c>
      <c r="I405" s="124">
        <v>48.606776043750841</v>
      </c>
      <c r="J405" s="124">
        <v>102.1468587434974</v>
      </c>
      <c r="K405" s="445">
        <f t="shared" si="6"/>
        <v>-10.714285714285708</v>
      </c>
      <c r="L405" s="445">
        <f t="shared" si="7"/>
        <v>-51.393223956249159</v>
      </c>
      <c r="M405" s="445">
        <f t="shared" si="8"/>
        <v>2.146858743497404</v>
      </c>
    </row>
    <row r="406" spans="1:13" x14ac:dyDescent="0.3">
      <c r="A406" s="124" t="s">
        <v>181</v>
      </c>
      <c r="B406" s="146" t="s">
        <v>184</v>
      </c>
      <c r="C406" s="146" t="s">
        <v>1056</v>
      </c>
      <c r="D406" s="146" t="s">
        <v>1055</v>
      </c>
      <c r="E406" s="146">
        <v>26.106442577030812</v>
      </c>
      <c r="F406" s="146">
        <v>14.629851940776309</v>
      </c>
      <c r="G406" s="146">
        <v>96.428571428571431</v>
      </c>
      <c r="H406" s="146">
        <v>96.428571428571431</v>
      </c>
      <c r="I406" s="146">
        <v>70.322128851540612</v>
      </c>
      <c r="J406" s="146">
        <v>111.05842336934774</v>
      </c>
      <c r="K406" s="445">
        <f t="shared" si="6"/>
        <v>-3.5714285714285694</v>
      </c>
      <c r="L406" s="445">
        <f t="shared" si="7"/>
        <v>-29.677871148459388</v>
      </c>
      <c r="M406" s="445">
        <f t="shared" si="8"/>
        <v>11.058423369347736</v>
      </c>
    </row>
    <row r="407" spans="1:13" x14ac:dyDescent="0.3">
      <c r="A407" s="124" t="s">
        <v>181</v>
      </c>
      <c r="B407" s="146" t="s">
        <v>184</v>
      </c>
      <c r="C407" s="146" t="s">
        <v>1057</v>
      </c>
      <c r="D407" s="124" t="s">
        <v>1055</v>
      </c>
      <c r="E407" s="146">
        <v>10.793650793650793</v>
      </c>
      <c r="F407" s="124">
        <v>13.412698412698413</v>
      </c>
      <c r="G407" s="124">
        <v>99.285714285714292</v>
      </c>
      <c r="H407" s="124">
        <v>99.285714285714292</v>
      </c>
      <c r="I407" s="124">
        <v>88.492063492063494</v>
      </c>
      <c r="J407" s="124">
        <v>112.69841269841271</v>
      </c>
      <c r="K407" s="445">
        <f t="shared" si="6"/>
        <v>-0.7142857142857082</v>
      </c>
      <c r="L407" s="445">
        <f t="shared" si="7"/>
        <v>-11.507936507936506</v>
      </c>
      <c r="M407" s="445">
        <f t="shared" si="8"/>
        <v>12.69841269841271</v>
      </c>
    </row>
    <row r="408" spans="1:13" x14ac:dyDescent="0.3">
      <c r="A408" s="124" t="s">
        <v>181</v>
      </c>
      <c r="B408" s="124" t="s">
        <v>191</v>
      </c>
      <c r="C408" s="124" t="s">
        <v>1052</v>
      </c>
      <c r="D408" s="124" t="s">
        <v>1053</v>
      </c>
      <c r="E408" s="124">
        <v>19.002267573696145</v>
      </c>
      <c r="F408" s="124">
        <v>21.904761904761905</v>
      </c>
      <c r="G408" s="124">
        <v>57.857142857142854</v>
      </c>
      <c r="H408" s="124">
        <v>57.857142857142854</v>
      </c>
      <c r="I408" s="124">
        <v>38.854875283446709</v>
      </c>
      <c r="J408" s="124">
        <v>79.761904761904759</v>
      </c>
      <c r="K408" s="445">
        <f t="shared" si="6"/>
        <v>-42.142857142857146</v>
      </c>
      <c r="L408" s="445">
        <f t="shared" si="7"/>
        <v>-61.145124716553291</v>
      </c>
      <c r="M408" s="445">
        <f t="shared" si="8"/>
        <v>-20.238095238095241</v>
      </c>
    </row>
    <row r="409" spans="1:13" x14ac:dyDescent="0.3">
      <c r="A409" s="124" t="s">
        <v>181</v>
      </c>
      <c r="B409" s="124" t="s">
        <v>191</v>
      </c>
      <c r="C409" s="146" t="s">
        <v>1056</v>
      </c>
      <c r="D409" s="146" t="s">
        <v>1053</v>
      </c>
      <c r="E409" s="124">
        <v>16.009070294784578</v>
      </c>
      <c r="F409" s="124">
        <v>16.927437641723355</v>
      </c>
      <c r="G409" s="124">
        <v>80</v>
      </c>
      <c r="H409" s="124">
        <v>80</v>
      </c>
      <c r="I409" s="124">
        <v>63.990929705215422</v>
      </c>
      <c r="J409" s="124">
        <v>96.927437641723358</v>
      </c>
      <c r="K409" s="445">
        <f t="shared" si="6"/>
        <v>-20</v>
      </c>
      <c r="L409" s="445">
        <f t="shared" si="7"/>
        <v>-36.009070294784578</v>
      </c>
      <c r="M409" s="445">
        <f t="shared" si="8"/>
        <v>-3.0725623582766417</v>
      </c>
    </row>
    <row r="410" spans="1:13" x14ac:dyDescent="0.3">
      <c r="A410" s="124" t="s">
        <v>181</v>
      </c>
      <c r="B410" s="146" t="s">
        <v>191</v>
      </c>
      <c r="C410" s="146" t="s">
        <v>1057</v>
      </c>
      <c r="D410" s="146" t="s">
        <v>1053</v>
      </c>
      <c r="E410" s="146">
        <v>0</v>
      </c>
      <c r="F410" s="146">
        <v>0</v>
      </c>
      <c r="G410" s="146">
        <v>100</v>
      </c>
      <c r="H410" s="146">
        <v>100</v>
      </c>
      <c r="I410" s="146">
        <v>100</v>
      </c>
      <c r="J410" s="146">
        <v>100</v>
      </c>
      <c r="K410" s="445">
        <f t="shared" si="6"/>
        <v>0</v>
      </c>
      <c r="L410" s="445">
        <f t="shared" si="7"/>
        <v>0</v>
      </c>
      <c r="M410" s="445">
        <f t="shared" si="8"/>
        <v>0</v>
      </c>
    </row>
    <row r="411" spans="1:13" x14ac:dyDescent="0.3">
      <c r="A411" s="124" t="s">
        <v>181</v>
      </c>
      <c r="B411" s="146" t="s">
        <v>191</v>
      </c>
      <c r="C411" s="124" t="s">
        <v>1052</v>
      </c>
      <c r="D411" s="146" t="s">
        <v>1054</v>
      </c>
      <c r="E411" s="124">
        <v>30.081365879685205</v>
      </c>
      <c r="F411" s="124">
        <v>21.981459250366811</v>
      </c>
      <c r="G411" s="124">
        <v>70</v>
      </c>
      <c r="H411" s="124">
        <v>70</v>
      </c>
      <c r="I411" s="124">
        <v>39.918634120314792</v>
      </c>
      <c r="J411" s="124">
        <v>91.981459250366811</v>
      </c>
      <c r="K411" s="445">
        <f t="shared" si="6"/>
        <v>-30</v>
      </c>
      <c r="L411" s="445">
        <f t="shared" si="7"/>
        <v>-60.081365879685208</v>
      </c>
      <c r="M411" s="445">
        <f t="shared" si="8"/>
        <v>-8.0185407496331891</v>
      </c>
    </row>
    <row r="412" spans="1:13" x14ac:dyDescent="0.3">
      <c r="A412" s="124" t="s">
        <v>181</v>
      </c>
      <c r="B412" s="146" t="s">
        <v>191</v>
      </c>
      <c r="C412" s="146" t="s">
        <v>1056</v>
      </c>
      <c r="D412" s="146" t="s">
        <v>1054</v>
      </c>
      <c r="E412" s="146">
        <v>23.657462985194076</v>
      </c>
      <c r="F412" s="146">
        <v>14.041616646658664</v>
      </c>
      <c r="G412" s="146">
        <v>89.285714285714292</v>
      </c>
      <c r="H412" s="146">
        <v>89.285714285714292</v>
      </c>
      <c r="I412" s="146">
        <v>65.628251300520219</v>
      </c>
      <c r="J412" s="146">
        <v>103.32733093237296</v>
      </c>
      <c r="K412" s="445">
        <f t="shared" si="6"/>
        <v>-10.714285714285708</v>
      </c>
      <c r="L412" s="445">
        <f t="shared" si="7"/>
        <v>-34.371748699479781</v>
      </c>
      <c r="M412" s="445">
        <f t="shared" si="8"/>
        <v>3.3273309323729592</v>
      </c>
    </row>
    <row r="413" spans="1:13" x14ac:dyDescent="0.3">
      <c r="A413" s="124" t="s">
        <v>181</v>
      </c>
      <c r="B413" s="146" t="s">
        <v>191</v>
      </c>
      <c r="C413" s="124" t="s">
        <v>1057</v>
      </c>
      <c r="D413" s="124" t="s">
        <v>1054</v>
      </c>
      <c r="E413" s="124">
        <v>6.6984126984126977</v>
      </c>
      <c r="F413" s="124">
        <v>8.9206349206349209</v>
      </c>
      <c r="G413" s="124">
        <v>98.571428571428569</v>
      </c>
      <c r="H413" s="124">
        <v>98.571428571428569</v>
      </c>
      <c r="I413" s="124">
        <v>91.873015873015873</v>
      </c>
      <c r="J413" s="124">
        <v>107.49206349206349</v>
      </c>
      <c r="K413" s="445">
        <f t="shared" si="6"/>
        <v>-1.4285714285714306</v>
      </c>
      <c r="L413" s="445">
        <f t="shared" si="7"/>
        <v>-8.1269841269841265</v>
      </c>
      <c r="M413" s="445">
        <f t="shared" si="8"/>
        <v>7.4920634920634939</v>
      </c>
    </row>
    <row r="414" spans="1:13" x14ac:dyDescent="0.3">
      <c r="A414" s="124" t="s">
        <v>181</v>
      </c>
      <c r="B414" s="146" t="s">
        <v>191</v>
      </c>
      <c r="C414" s="146" t="s">
        <v>1052</v>
      </c>
      <c r="D414" s="146" t="s">
        <v>1055</v>
      </c>
      <c r="E414" s="146">
        <v>40.678938241963451</v>
      </c>
      <c r="F414" s="124">
        <v>12.861144457783112</v>
      </c>
      <c r="G414" s="124">
        <v>89.285714285714292</v>
      </c>
      <c r="H414" s="124">
        <v>89.285714285714292</v>
      </c>
      <c r="I414" s="124">
        <v>48.606776043750841</v>
      </c>
      <c r="J414" s="124">
        <v>102.1468587434974</v>
      </c>
      <c r="K414" s="445">
        <f t="shared" si="6"/>
        <v>-10.714285714285708</v>
      </c>
      <c r="L414" s="445">
        <f t="shared" si="7"/>
        <v>-51.393223956249159</v>
      </c>
      <c r="M414" s="445">
        <f t="shared" si="8"/>
        <v>2.146858743497404</v>
      </c>
    </row>
    <row r="415" spans="1:13" x14ac:dyDescent="0.3">
      <c r="A415" s="124" t="s">
        <v>181</v>
      </c>
      <c r="B415" s="146" t="s">
        <v>191</v>
      </c>
      <c r="C415" s="146" t="s">
        <v>1056</v>
      </c>
      <c r="D415" s="146" t="s">
        <v>1055</v>
      </c>
      <c r="E415" s="146">
        <v>26.106442577030812</v>
      </c>
      <c r="F415" s="146">
        <v>14.629851940776309</v>
      </c>
      <c r="G415" s="146">
        <v>96.428571428571431</v>
      </c>
      <c r="H415" s="146">
        <v>96.428571428571431</v>
      </c>
      <c r="I415" s="146">
        <v>70.322128851540612</v>
      </c>
      <c r="J415" s="146">
        <v>111.05842336934774</v>
      </c>
      <c r="K415" s="445">
        <f t="shared" si="6"/>
        <v>-3.5714285714285694</v>
      </c>
      <c r="L415" s="445">
        <f t="shared" si="7"/>
        <v>-29.677871148459388</v>
      </c>
      <c r="M415" s="445">
        <f t="shared" si="8"/>
        <v>11.058423369347736</v>
      </c>
    </row>
    <row r="416" spans="1:13" x14ac:dyDescent="0.3">
      <c r="A416" s="124" t="s">
        <v>181</v>
      </c>
      <c r="B416" s="146" t="s">
        <v>191</v>
      </c>
      <c r="C416" s="146" t="s">
        <v>1057</v>
      </c>
      <c r="D416" s="124" t="s">
        <v>1055</v>
      </c>
      <c r="E416" s="146">
        <v>10.793650793650793</v>
      </c>
      <c r="F416" s="124">
        <v>13.412698412698413</v>
      </c>
      <c r="G416" s="124">
        <v>99.285714285714292</v>
      </c>
      <c r="H416" s="124">
        <v>99.285714285714292</v>
      </c>
      <c r="I416" s="124">
        <v>88.492063492063494</v>
      </c>
      <c r="J416" s="124">
        <v>112.69841269841271</v>
      </c>
      <c r="K416" s="445">
        <f t="shared" si="6"/>
        <v>-0.7142857142857082</v>
      </c>
      <c r="L416" s="445">
        <f t="shared" si="7"/>
        <v>-11.507936507936506</v>
      </c>
      <c r="M416" s="445">
        <f t="shared" si="8"/>
        <v>12.69841269841271</v>
      </c>
    </row>
    <row r="417" spans="1:13" x14ac:dyDescent="0.3">
      <c r="A417" s="124" t="s">
        <v>181</v>
      </c>
      <c r="B417" s="124" t="s">
        <v>194</v>
      </c>
      <c r="C417" s="124" t="s">
        <v>1052</v>
      </c>
      <c r="D417" s="124" t="s">
        <v>1053</v>
      </c>
      <c r="E417" s="124">
        <v>19.002267573696145</v>
      </c>
      <c r="F417" s="124">
        <v>21.904761904761905</v>
      </c>
      <c r="G417" s="124">
        <v>57.857142857142854</v>
      </c>
      <c r="H417" s="124">
        <v>57.857142857142854</v>
      </c>
      <c r="I417" s="124">
        <v>38.854875283446709</v>
      </c>
      <c r="J417" s="124">
        <v>79.761904761904759</v>
      </c>
      <c r="K417" s="445">
        <f t="shared" si="6"/>
        <v>-42.142857142857146</v>
      </c>
      <c r="L417" s="445">
        <f t="shared" si="7"/>
        <v>-61.145124716553291</v>
      </c>
      <c r="M417" s="445">
        <f t="shared" si="8"/>
        <v>-20.238095238095241</v>
      </c>
    </row>
    <row r="418" spans="1:13" x14ac:dyDescent="0.3">
      <c r="A418" s="124" t="s">
        <v>181</v>
      </c>
      <c r="B418" s="124" t="s">
        <v>194</v>
      </c>
      <c r="C418" s="146" t="s">
        <v>1056</v>
      </c>
      <c r="D418" s="146" t="s">
        <v>1053</v>
      </c>
      <c r="E418" s="124">
        <v>16.009070294784578</v>
      </c>
      <c r="F418" s="124">
        <v>16.927437641723355</v>
      </c>
      <c r="G418" s="124">
        <v>80</v>
      </c>
      <c r="H418" s="124">
        <v>80</v>
      </c>
      <c r="I418" s="124">
        <v>63.990929705215422</v>
      </c>
      <c r="J418" s="124">
        <v>96.927437641723358</v>
      </c>
      <c r="K418" s="445">
        <f t="shared" si="6"/>
        <v>-20</v>
      </c>
      <c r="L418" s="445">
        <f t="shared" si="7"/>
        <v>-36.009070294784578</v>
      </c>
      <c r="M418" s="445">
        <f t="shared" si="8"/>
        <v>-3.0725623582766417</v>
      </c>
    </row>
    <row r="419" spans="1:13" x14ac:dyDescent="0.3">
      <c r="A419" s="124" t="s">
        <v>181</v>
      </c>
      <c r="B419" s="146" t="s">
        <v>194</v>
      </c>
      <c r="C419" s="146" t="s">
        <v>1057</v>
      </c>
      <c r="D419" s="146" t="s">
        <v>1053</v>
      </c>
      <c r="E419" s="124">
        <v>0</v>
      </c>
      <c r="F419" s="124">
        <v>0</v>
      </c>
      <c r="G419" s="124">
        <v>100</v>
      </c>
      <c r="H419" s="124">
        <v>100</v>
      </c>
      <c r="I419" s="124">
        <v>100</v>
      </c>
      <c r="J419" s="124">
        <v>100</v>
      </c>
      <c r="K419" s="445">
        <f t="shared" si="6"/>
        <v>0</v>
      </c>
      <c r="L419" s="445">
        <f t="shared" si="7"/>
        <v>0</v>
      </c>
      <c r="M419" s="445">
        <f t="shared" si="8"/>
        <v>0</v>
      </c>
    </row>
    <row r="420" spans="1:13" x14ac:dyDescent="0.3">
      <c r="A420" s="124" t="s">
        <v>181</v>
      </c>
      <c r="B420" s="146" t="s">
        <v>194</v>
      </c>
      <c r="C420" s="124" t="s">
        <v>1052</v>
      </c>
      <c r="D420" s="146" t="s">
        <v>1054</v>
      </c>
      <c r="E420" s="124">
        <v>30.081365879685205</v>
      </c>
      <c r="F420" s="124">
        <v>21.981459250366811</v>
      </c>
      <c r="G420" s="124">
        <v>70</v>
      </c>
      <c r="H420" s="124">
        <v>70</v>
      </c>
      <c r="I420" s="124">
        <v>39.918634120314792</v>
      </c>
      <c r="J420" s="124">
        <v>91.981459250366811</v>
      </c>
      <c r="K420" s="445">
        <f t="shared" si="6"/>
        <v>-30</v>
      </c>
      <c r="L420" s="445">
        <f t="shared" si="7"/>
        <v>-60.081365879685208</v>
      </c>
      <c r="M420" s="445">
        <f t="shared" si="8"/>
        <v>-8.0185407496331891</v>
      </c>
    </row>
    <row r="421" spans="1:13" x14ac:dyDescent="0.3">
      <c r="A421" s="124" t="s">
        <v>181</v>
      </c>
      <c r="B421" s="146" t="s">
        <v>194</v>
      </c>
      <c r="C421" s="124" t="s">
        <v>1056</v>
      </c>
      <c r="D421" s="146" t="s">
        <v>1054</v>
      </c>
      <c r="E421" s="124">
        <v>23.657462985194076</v>
      </c>
      <c r="F421" s="124">
        <v>14.041616646658664</v>
      </c>
      <c r="G421" s="124">
        <v>89.285714285714292</v>
      </c>
      <c r="H421" s="124">
        <v>89.285714285714292</v>
      </c>
      <c r="I421" s="124">
        <v>65.628251300520219</v>
      </c>
      <c r="J421" s="124">
        <v>103.32733093237296</v>
      </c>
      <c r="K421" s="445">
        <f t="shared" si="6"/>
        <v>-10.714285714285708</v>
      </c>
      <c r="L421" s="445">
        <f t="shared" si="7"/>
        <v>-34.371748699479781</v>
      </c>
      <c r="M421" s="445">
        <f t="shared" si="8"/>
        <v>3.3273309323729592</v>
      </c>
    </row>
    <row r="422" spans="1:13" x14ac:dyDescent="0.3">
      <c r="A422" s="124" t="s">
        <v>181</v>
      </c>
      <c r="B422" s="146" t="s">
        <v>194</v>
      </c>
      <c r="C422" s="124" t="s">
        <v>1057</v>
      </c>
      <c r="D422" s="124" t="s">
        <v>1054</v>
      </c>
      <c r="E422" s="124">
        <v>6.6984126984126977</v>
      </c>
      <c r="F422" s="124">
        <v>8.9206349206349209</v>
      </c>
      <c r="G422" s="124">
        <v>98.571428571428569</v>
      </c>
      <c r="H422" s="124">
        <v>98.571428571428569</v>
      </c>
      <c r="I422" s="124">
        <v>91.873015873015873</v>
      </c>
      <c r="J422" s="124">
        <v>107.49206349206349</v>
      </c>
      <c r="K422" s="445">
        <f t="shared" si="6"/>
        <v>-1.4285714285714306</v>
      </c>
      <c r="L422" s="445">
        <f t="shared" si="7"/>
        <v>-8.1269841269841265</v>
      </c>
      <c r="M422" s="445">
        <f t="shared" si="8"/>
        <v>7.4920634920634939</v>
      </c>
    </row>
    <row r="423" spans="1:13" x14ac:dyDescent="0.3">
      <c r="A423" s="124" t="s">
        <v>181</v>
      </c>
      <c r="B423" s="146" t="s">
        <v>194</v>
      </c>
      <c r="C423" s="146" t="s">
        <v>1052</v>
      </c>
      <c r="D423" s="146" t="s">
        <v>1055</v>
      </c>
      <c r="E423" s="146">
        <v>40.678938241963451</v>
      </c>
      <c r="F423" s="124">
        <v>12.861144457783112</v>
      </c>
      <c r="G423" s="124">
        <v>89.285714285714292</v>
      </c>
      <c r="H423" s="124">
        <v>89.285714285714292</v>
      </c>
      <c r="I423" s="124">
        <v>48.606776043750841</v>
      </c>
      <c r="J423" s="124">
        <v>102.1468587434974</v>
      </c>
      <c r="K423" s="445">
        <f t="shared" si="6"/>
        <v>-10.714285714285708</v>
      </c>
      <c r="L423" s="445">
        <f t="shared" si="7"/>
        <v>-51.393223956249159</v>
      </c>
      <c r="M423" s="445">
        <f t="shared" si="8"/>
        <v>2.146858743497404</v>
      </c>
    </row>
    <row r="424" spans="1:13" x14ac:dyDescent="0.3">
      <c r="A424" s="124" t="s">
        <v>181</v>
      </c>
      <c r="B424" s="146" t="s">
        <v>194</v>
      </c>
      <c r="C424" s="146" t="s">
        <v>1056</v>
      </c>
      <c r="D424" s="146" t="s">
        <v>1055</v>
      </c>
      <c r="E424" s="146">
        <v>26.106442577030812</v>
      </c>
      <c r="F424" s="146">
        <v>14.629851940776309</v>
      </c>
      <c r="G424" s="146">
        <v>96.428571428571431</v>
      </c>
      <c r="H424" s="146">
        <v>96.428571428571431</v>
      </c>
      <c r="I424" s="146">
        <v>70.322128851540612</v>
      </c>
      <c r="J424" s="146">
        <v>111.05842336934774</v>
      </c>
      <c r="K424" s="445">
        <f t="shared" si="6"/>
        <v>-3.5714285714285694</v>
      </c>
      <c r="L424" s="445">
        <f t="shared" si="7"/>
        <v>-29.677871148459388</v>
      </c>
      <c r="M424" s="445">
        <f t="shared" si="8"/>
        <v>11.058423369347736</v>
      </c>
    </row>
    <row r="425" spans="1:13" x14ac:dyDescent="0.3">
      <c r="A425" s="124" t="s">
        <v>181</v>
      </c>
      <c r="B425" s="146" t="s">
        <v>194</v>
      </c>
      <c r="C425" s="146" t="s">
        <v>1057</v>
      </c>
      <c r="D425" s="124" t="s">
        <v>1055</v>
      </c>
      <c r="E425" s="146">
        <v>10.793650793650793</v>
      </c>
      <c r="F425" s="124">
        <v>13.412698412698413</v>
      </c>
      <c r="G425" s="124">
        <v>99.285714285714292</v>
      </c>
      <c r="H425" s="124">
        <v>99.285714285714292</v>
      </c>
      <c r="I425" s="124">
        <v>88.492063492063494</v>
      </c>
      <c r="J425" s="124">
        <v>112.69841269841271</v>
      </c>
      <c r="K425" s="445">
        <f t="shared" si="6"/>
        <v>-0.7142857142857082</v>
      </c>
      <c r="L425" s="445">
        <f t="shared" si="7"/>
        <v>-11.507936507936506</v>
      </c>
      <c r="M425" s="445">
        <f t="shared" si="8"/>
        <v>12.69841269841271</v>
      </c>
    </row>
    <row r="426" spans="1:13" x14ac:dyDescent="0.3">
      <c r="A426" s="124" t="s">
        <v>181</v>
      </c>
      <c r="B426" s="124" t="s">
        <v>196</v>
      </c>
      <c r="C426" s="619" t="s">
        <v>1052</v>
      </c>
      <c r="D426" s="620" t="s">
        <v>1053</v>
      </c>
      <c r="E426" s="124">
        <v>19.002267573696145</v>
      </c>
      <c r="F426" s="124">
        <v>21.904761904761905</v>
      </c>
      <c r="G426" s="124">
        <v>57.857142857142854</v>
      </c>
      <c r="H426" s="124">
        <v>57.857142857142854</v>
      </c>
      <c r="I426" s="124">
        <v>38.854875283446709</v>
      </c>
      <c r="J426" s="124">
        <v>79.761904761904759</v>
      </c>
      <c r="K426" s="445">
        <f t="shared" si="6"/>
        <v>-42.142857142857146</v>
      </c>
      <c r="L426" s="445">
        <f t="shared" si="7"/>
        <v>-61.145124716553291</v>
      </c>
      <c r="M426" s="445">
        <f t="shared" si="8"/>
        <v>-20.238095238095241</v>
      </c>
    </row>
    <row r="427" spans="1:13" x14ac:dyDescent="0.3">
      <c r="A427" s="124" t="s">
        <v>181</v>
      </c>
      <c r="B427" s="124" t="s">
        <v>196</v>
      </c>
      <c r="C427" s="619" t="s">
        <v>1056</v>
      </c>
      <c r="D427" s="620" t="s">
        <v>1053</v>
      </c>
      <c r="E427" s="124">
        <v>16.009070294784578</v>
      </c>
      <c r="F427" s="124">
        <v>16.927437641723355</v>
      </c>
      <c r="G427" s="124">
        <v>80</v>
      </c>
      <c r="H427" s="124">
        <v>80</v>
      </c>
      <c r="I427" s="124">
        <v>63.990929705215422</v>
      </c>
      <c r="J427" s="124">
        <v>96.927437641723358</v>
      </c>
      <c r="K427" s="445">
        <f t="shared" si="6"/>
        <v>-20</v>
      </c>
      <c r="L427" s="445">
        <f t="shared" si="7"/>
        <v>-36.009070294784578</v>
      </c>
      <c r="M427" s="445">
        <f t="shared" si="8"/>
        <v>-3.0725623582766417</v>
      </c>
    </row>
    <row r="428" spans="1:13" x14ac:dyDescent="0.3">
      <c r="A428" s="124" t="s">
        <v>181</v>
      </c>
      <c r="B428" s="146" t="s">
        <v>196</v>
      </c>
      <c r="C428" s="619" t="s">
        <v>1057</v>
      </c>
      <c r="D428" s="620" t="s">
        <v>1053</v>
      </c>
      <c r="E428" s="124">
        <v>0</v>
      </c>
      <c r="F428" s="124">
        <v>0</v>
      </c>
      <c r="G428" s="124">
        <v>100</v>
      </c>
      <c r="H428" s="124">
        <v>100</v>
      </c>
      <c r="I428" s="124">
        <v>100</v>
      </c>
      <c r="J428" s="124">
        <v>100</v>
      </c>
      <c r="K428" s="445">
        <f t="shared" si="6"/>
        <v>0</v>
      </c>
      <c r="L428" s="445">
        <f t="shared" si="7"/>
        <v>0</v>
      </c>
      <c r="M428" s="445">
        <f t="shared" si="8"/>
        <v>0</v>
      </c>
    </row>
    <row r="429" spans="1:13" x14ac:dyDescent="0.3">
      <c r="A429" s="124" t="s">
        <v>181</v>
      </c>
      <c r="B429" s="146" t="s">
        <v>196</v>
      </c>
      <c r="C429" s="619" t="s">
        <v>1052</v>
      </c>
      <c r="D429" s="620" t="s">
        <v>1054</v>
      </c>
      <c r="E429" s="146">
        <v>30.081365879685205</v>
      </c>
      <c r="F429" s="146">
        <v>21.981459250366811</v>
      </c>
      <c r="G429" s="146">
        <v>70</v>
      </c>
      <c r="H429" s="146">
        <v>70</v>
      </c>
      <c r="I429" s="146">
        <v>39.918634120314792</v>
      </c>
      <c r="J429" s="146">
        <v>91.981459250366811</v>
      </c>
      <c r="K429" s="445">
        <f t="shared" si="6"/>
        <v>-30</v>
      </c>
      <c r="L429" s="445">
        <f t="shared" si="7"/>
        <v>-60.081365879685208</v>
      </c>
      <c r="M429" s="445">
        <f t="shared" si="8"/>
        <v>-8.0185407496331891</v>
      </c>
    </row>
    <row r="430" spans="1:13" x14ac:dyDescent="0.3">
      <c r="A430" s="124" t="s">
        <v>181</v>
      </c>
      <c r="B430" s="146" t="s">
        <v>196</v>
      </c>
      <c r="C430" s="619" t="s">
        <v>1056</v>
      </c>
      <c r="D430" s="620" t="s">
        <v>1054</v>
      </c>
      <c r="E430" s="124">
        <v>23.657462985194076</v>
      </c>
      <c r="F430" s="124">
        <v>14.041616646658664</v>
      </c>
      <c r="G430" s="124">
        <v>89.285714285714292</v>
      </c>
      <c r="H430" s="124">
        <v>89.285714285714292</v>
      </c>
      <c r="I430" s="124">
        <v>65.628251300520219</v>
      </c>
      <c r="J430" s="124">
        <v>103.32733093237296</v>
      </c>
      <c r="K430" s="445">
        <f t="shared" si="6"/>
        <v>-10.714285714285708</v>
      </c>
      <c r="L430" s="445">
        <f t="shared" si="7"/>
        <v>-34.371748699479781</v>
      </c>
      <c r="M430" s="445">
        <f t="shared" si="8"/>
        <v>3.3273309323729592</v>
      </c>
    </row>
    <row r="431" spans="1:13" x14ac:dyDescent="0.3">
      <c r="A431" s="124" t="s">
        <v>181</v>
      </c>
      <c r="B431" s="146" t="s">
        <v>196</v>
      </c>
      <c r="C431" s="619" t="s">
        <v>1057</v>
      </c>
      <c r="D431" s="620" t="s">
        <v>1054</v>
      </c>
      <c r="E431" s="124">
        <v>6.6984126984126977</v>
      </c>
      <c r="F431" s="124">
        <v>8.9206349206349209</v>
      </c>
      <c r="G431" s="124">
        <v>98.571428571428569</v>
      </c>
      <c r="H431" s="124">
        <v>98.571428571428569</v>
      </c>
      <c r="I431" s="124">
        <v>91.873015873015873</v>
      </c>
      <c r="J431" s="124">
        <v>107.49206349206349</v>
      </c>
      <c r="K431" s="445">
        <f t="shared" si="6"/>
        <v>-1.4285714285714306</v>
      </c>
      <c r="L431" s="445">
        <f t="shared" si="7"/>
        <v>-8.1269841269841265</v>
      </c>
      <c r="M431" s="445">
        <f t="shared" si="8"/>
        <v>7.4920634920634939</v>
      </c>
    </row>
    <row r="432" spans="1:13" x14ac:dyDescent="0.3">
      <c r="A432" s="124" t="s">
        <v>181</v>
      </c>
      <c r="B432" s="146" t="s">
        <v>196</v>
      </c>
      <c r="C432" s="619" t="s">
        <v>1052</v>
      </c>
      <c r="D432" s="620" t="s">
        <v>1055</v>
      </c>
      <c r="E432" s="146">
        <v>40.678938241963451</v>
      </c>
      <c r="F432" s="124">
        <v>12.861144457783112</v>
      </c>
      <c r="G432" s="124">
        <v>89.285714285714292</v>
      </c>
      <c r="H432" s="124">
        <v>89.285714285714292</v>
      </c>
      <c r="I432" s="124">
        <v>48.606776043750841</v>
      </c>
      <c r="J432" s="124">
        <v>102.1468587434974</v>
      </c>
      <c r="K432" s="445">
        <f t="shared" si="6"/>
        <v>-10.714285714285708</v>
      </c>
      <c r="L432" s="445">
        <f t="shared" si="7"/>
        <v>-51.393223956249159</v>
      </c>
      <c r="M432" s="445">
        <f t="shared" si="8"/>
        <v>2.146858743497404</v>
      </c>
    </row>
    <row r="433" spans="1:13" x14ac:dyDescent="0.3">
      <c r="A433" s="124" t="s">
        <v>181</v>
      </c>
      <c r="B433" s="146" t="s">
        <v>196</v>
      </c>
      <c r="C433" s="619" t="s">
        <v>1056</v>
      </c>
      <c r="D433" s="620" t="s">
        <v>1055</v>
      </c>
      <c r="E433" s="146">
        <v>26.106442577030812</v>
      </c>
      <c r="F433" s="124">
        <v>14.629851940776309</v>
      </c>
      <c r="G433" s="124">
        <v>96.428571428571431</v>
      </c>
      <c r="H433" s="124">
        <v>96.428571428571431</v>
      </c>
      <c r="I433" s="124">
        <v>70.322128851540612</v>
      </c>
      <c r="J433" s="124">
        <v>111.05842336934774</v>
      </c>
      <c r="K433" s="445">
        <f t="shared" si="6"/>
        <v>-3.5714285714285694</v>
      </c>
      <c r="L433" s="445">
        <f t="shared" si="7"/>
        <v>-29.677871148459388</v>
      </c>
      <c r="M433" s="445">
        <f t="shared" si="8"/>
        <v>11.058423369347736</v>
      </c>
    </row>
    <row r="434" spans="1:13" ht="15" thickBot="1" x14ac:dyDescent="0.35">
      <c r="A434" s="124" t="s">
        <v>181</v>
      </c>
      <c r="B434" s="146" t="s">
        <v>196</v>
      </c>
      <c r="C434" s="619" t="s">
        <v>1057</v>
      </c>
      <c r="D434" s="620" t="s">
        <v>1055</v>
      </c>
      <c r="E434" s="146">
        <v>10.793650793650793</v>
      </c>
      <c r="F434" s="124">
        <v>13.412698412698413</v>
      </c>
      <c r="G434" s="124">
        <v>99.285714285714292</v>
      </c>
      <c r="H434" s="124">
        <v>99.285714285714292</v>
      </c>
      <c r="I434" s="124">
        <v>88.492063492063494</v>
      </c>
      <c r="J434" s="124">
        <v>112.69841269841271</v>
      </c>
      <c r="K434" s="445">
        <f t="shared" si="6"/>
        <v>-0.7142857142857082</v>
      </c>
      <c r="L434" s="445">
        <f t="shared" si="7"/>
        <v>-11.507936507936506</v>
      </c>
      <c r="M434" s="445">
        <f t="shared" si="8"/>
        <v>12.69841269841271</v>
      </c>
    </row>
    <row r="435" spans="1:13" x14ac:dyDescent="0.3">
      <c r="A435" s="124" t="s">
        <v>181</v>
      </c>
      <c r="B435" s="621" t="s">
        <v>199</v>
      </c>
      <c r="C435" s="622" t="s">
        <v>1052</v>
      </c>
      <c r="D435" s="623" t="s">
        <v>1053</v>
      </c>
      <c r="E435" s="124">
        <v>29.572644847412647</v>
      </c>
      <c r="F435" s="124">
        <v>17.873421298343896</v>
      </c>
      <c r="G435" s="124">
        <v>77.5</v>
      </c>
      <c r="H435" s="124">
        <v>77.5</v>
      </c>
      <c r="I435" s="124">
        <v>47.927355152587353</v>
      </c>
      <c r="J435" s="124">
        <v>95.373421298343899</v>
      </c>
      <c r="K435" s="445">
        <f t="shared" si="6"/>
        <v>-22.5</v>
      </c>
      <c r="L435" s="445">
        <f t="shared" si="7"/>
        <v>-52.072644847412647</v>
      </c>
      <c r="M435" s="445">
        <f t="shared" si="8"/>
        <v>-4.6265787016561006</v>
      </c>
    </row>
    <row r="436" spans="1:13" x14ac:dyDescent="0.3">
      <c r="A436" s="124" t="s">
        <v>181</v>
      </c>
      <c r="B436" s="624" t="s">
        <v>199</v>
      </c>
      <c r="C436" s="619" t="s">
        <v>1056</v>
      </c>
      <c r="D436" s="620" t="s">
        <v>1053</v>
      </c>
      <c r="E436" s="124">
        <v>17.467602830605927</v>
      </c>
      <c r="F436" s="124">
        <v>12.01826256818517</v>
      </c>
      <c r="G436" s="124">
        <v>87.5</v>
      </c>
      <c r="H436" s="124">
        <v>87.5</v>
      </c>
      <c r="I436" s="124">
        <v>70.032397169394073</v>
      </c>
      <c r="J436" s="124">
        <v>99.518262568185165</v>
      </c>
      <c r="K436" s="445">
        <f t="shared" si="6"/>
        <v>-12.5</v>
      </c>
      <c r="L436" s="445">
        <f t="shared" si="7"/>
        <v>-29.967602830605927</v>
      </c>
      <c r="M436" s="445">
        <f t="shared" si="8"/>
        <v>-0.4817374318148353</v>
      </c>
    </row>
    <row r="437" spans="1:13" x14ac:dyDescent="0.3">
      <c r="A437" s="124" t="s">
        <v>181</v>
      </c>
      <c r="B437" s="624" t="s">
        <v>199</v>
      </c>
      <c r="C437" s="619" t="s">
        <v>1057</v>
      </c>
      <c r="D437" s="620" t="s">
        <v>1053</v>
      </c>
      <c r="E437" s="124">
        <v>0</v>
      </c>
      <c r="F437" s="124">
        <v>0</v>
      </c>
      <c r="G437" s="124">
        <v>100</v>
      </c>
      <c r="H437" s="124">
        <v>100</v>
      </c>
      <c r="I437" s="124">
        <v>100</v>
      </c>
      <c r="J437" s="124">
        <v>100</v>
      </c>
      <c r="K437" s="445">
        <f t="shared" si="6"/>
        <v>0</v>
      </c>
      <c r="L437" s="445">
        <f t="shared" si="7"/>
        <v>0</v>
      </c>
      <c r="M437" s="445">
        <f t="shared" si="8"/>
        <v>0</v>
      </c>
    </row>
    <row r="438" spans="1:13" x14ac:dyDescent="0.3">
      <c r="A438" s="124" t="s">
        <v>181</v>
      </c>
      <c r="B438" s="624" t="s">
        <v>199</v>
      </c>
      <c r="C438" s="619" t="s">
        <v>1052</v>
      </c>
      <c r="D438" s="620" t="s">
        <v>1054</v>
      </c>
      <c r="E438" s="124">
        <v>29.481792717086837</v>
      </c>
      <c r="F438" s="124">
        <v>19.658613445378151</v>
      </c>
      <c r="G438" s="124">
        <v>71.25</v>
      </c>
      <c r="H438" s="124">
        <v>71.25</v>
      </c>
      <c r="I438" s="124">
        <v>41.768207282913167</v>
      </c>
      <c r="J438" s="124">
        <v>90.908613445378151</v>
      </c>
      <c r="K438" s="445">
        <f t="shared" si="6"/>
        <v>-28.75</v>
      </c>
      <c r="L438" s="445">
        <f t="shared" si="7"/>
        <v>-58.231792717086833</v>
      </c>
      <c r="M438" s="445">
        <f t="shared" si="8"/>
        <v>-9.0913865546218489</v>
      </c>
    </row>
    <row r="439" spans="1:13" x14ac:dyDescent="0.3">
      <c r="A439" s="124" t="s">
        <v>181</v>
      </c>
      <c r="B439" s="624" t="s">
        <v>199</v>
      </c>
      <c r="C439" s="619" t="s">
        <v>1056</v>
      </c>
      <c r="D439" s="620" t="s">
        <v>1054</v>
      </c>
      <c r="E439" s="124">
        <v>18.838112437957637</v>
      </c>
      <c r="F439" s="124">
        <v>17.491006929087426</v>
      </c>
      <c r="G439" s="124">
        <v>81.5</v>
      </c>
      <c r="H439" s="124">
        <v>81.5</v>
      </c>
      <c r="I439" s="124">
        <v>62.661887562042367</v>
      </c>
      <c r="J439" s="124">
        <v>98.991006929087433</v>
      </c>
      <c r="K439" s="445">
        <f t="shared" si="6"/>
        <v>-18.5</v>
      </c>
      <c r="L439" s="445">
        <f t="shared" si="7"/>
        <v>-37.338112437957633</v>
      </c>
      <c r="M439" s="445">
        <f t="shared" si="8"/>
        <v>-1.0089930709125667</v>
      </c>
    </row>
    <row r="440" spans="1:13" x14ac:dyDescent="0.3">
      <c r="A440" s="124" t="s">
        <v>181</v>
      </c>
      <c r="B440" s="624" t="s">
        <v>199</v>
      </c>
      <c r="C440" s="619" t="s">
        <v>1057</v>
      </c>
      <c r="D440" s="620" t="s">
        <v>1054</v>
      </c>
      <c r="E440" s="124">
        <v>6.3845029239766085</v>
      </c>
      <c r="F440" s="124">
        <v>4.9747284878863827</v>
      </c>
      <c r="G440" s="124">
        <v>96.625</v>
      </c>
      <c r="H440" s="124">
        <v>96.625</v>
      </c>
      <c r="I440" s="124">
        <v>90.240497076023388</v>
      </c>
      <c r="J440" s="124">
        <v>101.59972848788638</v>
      </c>
      <c r="K440" s="445">
        <f t="shared" si="6"/>
        <v>-3.375</v>
      </c>
      <c r="L440" s="445">
        <f t="shared" si="7"/>
        <v>-9.759502923976612</v>
      </c>
      <c r="M440" s="445">
        <f t="shared" si="8"/>
        <v>1.5997284878863809</v>
      </c>
    </row>
    <row r="441" spans="1:13" x14ac:dyDescent="0.3">
      <c r="A441" s="124" t="s">
        <v>181</v>
      </c>
      <c r="B441" s="624" t="s">
        <v>199</v>
      </c>
      <c r="C441" s="619" t="s">
        <v>1052</v>
      </c>
      <c r="D441" s="620" t="s">
        <v>1055</v>
      </c>
      <c r="E441" s="124">
        <v>26.289098972922503</v>
      </c>
      <c r="F441" s="124">
        <v>25.330882352941178</v>
      </c>
      <c r="G441" s="124">
        <v>63.75</v>
      </c>
      <c r="H441" s="124">
        <v>63.75</v>
      </c>
      <c r="I441" s="124">
        <v>37.460901027077497</v>
      </c>
      <c r="J441" s="124">
        <v>89.080882352941174</v>
      </c>
      <c r="K441" s="445">
        <f t="shared" si="6"/>
        <v>-36.25</v>
      </c>
      <c r="L441" s="445">
        <f t="shared" si="7"/>
        <v>-62.539098972922503</v>
      </c>
      <c r="M441" s="445">
        <f t="shared" si="8"/>
        <v>-10.919117647058826</v>
      </c>
    </row>
    <row r="442" spans="1:13" x14ac:dyDescent="0.3">
      <c r="A442" s="124" t="s">
        <v>181</v>
      </c>
      <c r="B442" s="624" t="s">
        <v>199</v>
      </c>
      <c r="C442" s="619" t="s">
        <v>1056</v>
      </c>
      <c r="D442" s="620" t="s">
        <v>1055</v>
      </c>
      <c r="E442" s="124">
        <v>17.398459383753501</v>
      </c>
      <c r="F442" s="124">
        <v>22.801120448179269</v>
      </c>
      <c r="G442" s="124">
        <v>73.125</v>
      </c>
      <c r="H442" s="124">
        <v>73.125</v>
      </c>
      <c r="I442" s="124">
        <v>55.726540616246496</v>
      </c>
      <c r="J442" s="124">
        <v>95.926120448179262</v>
      </c>
      <c r="K442" s="445">
        <f t="shared" si="6"/>
        <v>-26.875</v>
      </c>
      <c r="L442" s="445">
        <f t="shared" si="7"/>
        <v>-44.273459383753504</v>
      </c>
      <c r="M442" s="445">
        <f t="shared" si="8"/>
        <v>-4.0738795518207382</v>
      </c>
    </row>
    <row r="443" spans="1:13" ht="15" thickBot="1" x14ac:dyDescent="0.35">
      <c r="A443" s="124" t="s">
        <v>181</v>
      </c>
      <c r="B443" s="625" t="s">
        <v>199</v>
      </c>
      <c r="C443" s="626" t="s">
        <v>1057</v>
      </c>
      <c r="D443" s="627" t="s">
        <v>1055</v>
      </c>
      <c r="E443" s="146">
        <v>12.956932773109244</v>
      </c>
      <c r="F443" s="124">
        <v>11.706932773109244</v>
      </c>
      <c r="G443" s="124">
        <v>87.5</v>
      </c>
      <c r="H443" s="124">
        <v>87.5</v>
      </c>
      <c r="I443" s="124">
        <v>74.543067226890756</v>
      </c>
      <c r="J443" s="124">
        <v>99.206932773109244</v>
      </c>
      <c r="K443" s="445">
        <f t="shared" si="6"/>
        <v>-12.5</v>
      </c>
      <c r="L443" s="445">
        <f t="shared" si="7"/>
        <v>-25.456932773109244</v>
      </c>
      <c r="M443" s="445">
        <f t="shared" si="8"/>
        <v>-0.79306722689075571</v>
      </c>
    </row>
    <row r="444" spans="1:13" x14ac:dyDescent="0.3">
      <c r="A444" s="124" t="s">
        <v>181</v>
      </c>
      <c r="B444" s="628" t="s">
        <v>204</v>
      </c>
      <c r="C444" s="619" t="s">
        <v>1052</v>
      </c>
      <c r="D444" s="620" t="s">
        <v>1053</v>
      </c>
      <c r="E444" s="124">
        <v>29.572644847412647</v>
      </c>
      <c r="F444" s="124">
        <v>17.873421298343896</v>
      </c>
      <c r="G444" s="124">
        <v>77.5</v>
      </c>
      <c r="H444" s="124">
        <v>77.5</v>
      </c>
      <c r="I444" s="124">
        <v>47.927355152587353</v>
      </c>
      <c r="J444" s="124">
        <v>95.373421298343899</v>
      </c>
      <c r="K444" s="445">
        <f t="shared" si="6"/>
        <v>-22.5</v>
      </c>
      <c r="L444" s="445">
        <f t="shared" si="7"/>
        <v>-52.072644847412647</v>
      </c>
      <c r="M444" s="445">
        <f t="shared" si="8"/>
        <v>-4.6265787016561006</v>
      </c>
    </row>
    <row r="445" spans="1:13" x14ac:dyDescent="0.3">
      <c r="A445" s="124" t="s">
        <v>181</v>
      </c>
      <c r="B445" s="628" t="s">
        <v>204</v>
      </c>
      <c r="C445" s="619" t="s">
        <v>1056</v>
      </c>
      <c r="D445" s="620" t="s">
        <v>1053</v>
      </c>
      <c r="E445" s="124">
        <v>17.467602830605927</v>
      </c>
      <c r="F445" s="124">
        <v>12.01826256818517</v>
      </c>
      <c r="G445" s="124">
        <v>87.5</v>
      </c>
      <c r="H445" s="124">
        <v>87.5</v>
      </c>
      <c r="I445" s="124">
        <v>70.032397169394073</v>
      </c>
      <c r="J445" s="124">
        <v>99.518262568185165</v>
      </c>
      <c r="K445" s="445">
        <f t="shared" si="6"/>
        <v>-12.5</v>
      </c>
      <c r="L445" s="445">
        <f t="shared" si="7"/>
        <v>-29.967602830605927</v>
      </c>
      <c r="M445" s="445">
        <f t="shared" si="8"/>
        <v>-0.4817374318148353</v>
      </c>
    </row>
    <row r="446" spans="1:13" x14ac:dyDescent="0.3">
      <c r="A446" s="124" t="s">
        <v>181</v>
      </c>
      <c r="B446" s="628" t="s">
        <v>204</v>
      </c>
      <c r="C446" s="619" t="s">
        <v>1057</v>
      </c>
      <c r="D446" s="620" t="s">
        <v>1053</v>
      </c>
      <c r="E446" s="124">
        <v>0</v>
      </c>
      <c r="F446" s="124">
        <v>0</v>
      </c>
      <c r="G446" s="124">
        <v>100</v>
      </c>
      <c r="H446" s="124">
        <v>100</v>
      </c>
      <c r="I446" s="124">
        <v>100</v>
      </c>
      <c r="J446" s="124">
        <v>100</v>
      </c>
      <c r="K446" s="445">
        <f t="shared" si="6"/>
        <v>0</v>
      </c>
      <c r="L446" s="445">
        <f t="shared" si="7"/>
        <v>0</v>
      </c>
      <c r="M446" s="445">
        <f t="shared" si="8"/>
        <v>0</v>
      </c>
    </row>
    <row r="447" spans="1:13" x14ac:dyDescent="0.3">
      <c r="A447" s="124" t="s">
        <v>181</v>
      </c>
      <c r="B447" s="628" t="s">
        <v>204</v>
      </c>
      <c r="C447" s="619" t="s">
        <v>1052</v>
      </c>
      <c r="D447" s="620" t="s">
        <v>1054</v>
      </c>
      <c r="E447" s="124">
        <v>29.481792717086837</v>
      </c>
      <c r="F447" s="124">
        <v>19.658613445378151</v>
      </c>
      <c r="G447" s="124">
        <v>71.25</v>
      </c>
      <c r="H447" s="124">
        <v>71.25</v>
      </c>
      <c r="I447" s="124">
        <v>41.768207282913167</v>
      </c>
      <c r="J447" s="124">
        <v>90.908613445378151</v>
      </c>
      <c r="K447" s="445">
        <f t="shared" ref="K447:K510" si="9">0-(100-H447)</f>
        <v>-28.75</v>
      </c>
      <c r="L447" s="445">
        <f t="shared" ref="L447:L510" si="10">0-(100-I447)</f>
        <v>-58.231792717086833</v>
      </c>
      <c r="M447" s="445">
        <f t="shared" ref="M447:M510" si="11">0-(100-J447)</f>
        <v>-9.0913865546218489</v>
      </c>
    </row>
    <row r="448" spans="1:13" x14ac:dyDescent="0.3">
      <c r="A448" s="124" t="s">
        <v>181</v>
      </c>
      <c r="B448" s="628" t="s">
        <v>204</v>
      </c>
      <c r="C448" s="619" t="s">
        <v>1056</v>
      </c>
      <c r="D448" s="620" t="s">
        <v>1054</v>
      </c>
      <c r="E448" s="124">
        <v>18.838112437957637</v>
      </c>
      <c r="F448" s="124">
        <v>17.491006929087426</v>
      </c>
      <c r="G448" s="124">
        <v>81.5</v>
      </c>
      <c r="H448" s="124">
        <v>81.5</v>
      </c>
      <c r="I448" s="124">
        <v>62.661887562042367</v>
      </c>
      <c r="J448" s="124">
        <v>98.991006929087433</v>
      </c>
      <c r="K448" s="445">
        <f t="shared" si="9"/>
        <v>-18.5</v>
      </c>
      <c r="L448" s="445">
        <f t="shared" si="10"/>
        <v>-37.338112437957633</v>
      </c>
      <c r="M448" s="445">
        <f t="shared" si="11"/>
        <v>-1.0089930709125667</v>
      </c>
    </row>
    <row r="449" spans="1:13" x14ac:dyDescent="0.3">
      <c r="A449" s="124" t="s">
        <v>181</v>
      </c>
      <c r="B449" s="628" t="s">
        <v>204</v>
      </c>
      <c r="C449" s="619" t="s">
        <v>1057</v>
      </c>
      <c r="D449" s="620" t="s">
        <v>1054</v>
      </c>
      <c r="E449" s="124">
        <v>6.3845029239766085</v>
      </c>
      <c r="F449" s="124">
        <v>4.9747284878863827</v>
      </c>
      <c r="G449" s="124">
        <v>96.625</v>
      </c>
      <c r="H449" s="124">
        <v>96.625</v>
      </c>
      <c r="I449" s="124">
        <v>90.240497076023388</v>
      </c>
      <c r="J449" s="124">
        <v>101.59972848788638</v>
      </c>
      <c r="K449" s="445">
        <f t="shared" si="9"/>
        <v>-3.375</v>
      </c>
      <c r="L449" s="445">
        <f t="shared" si="10"/>
        <v>-9.759502923976612</v>
      </c>
      <c r="M449" s="445">
        <f t="shared" si="11"/>
        <v>1.5997284878863809</v>
      </c>
    </row>
    <row r="450" spans="1:13" x14ac:dyDescent="0.3">
      <c r="A450" s="124" t="s">
        <v>181</v>
      </c>
      <c r="B450" s="628" t="s">
        <v>204</v>
      </c>
      <c r="C450" s="619" t="s">
        <v>1052</v>
      </c>
      <c r="D450" s="620" t="s">
        <v>1055</v>
      </c>
      <c r="E450" s="124">
        <v>26.289098972922503</v>
      </c>
      <c r="F450" s="124">
        <v>25.330882352941178</v>
      </c>
      <c r="G450" s="124">
        <v>63.75</v>
      </c>
      <c r="H450" s="124">
        <v>63.75</v>
      </c>
      <c r="I450" s="124">
        <v>37.460901027077497</v>
      </c>
      <c r="J450" s="124">
        <v>89.080882352941174</v>
      </c>
      <c r="K450" s="445">
        <f t="shared" si="9"/>
        <v>-36.25</v>
      </c>
      <c r="L450" s="445">
        <f t="shared" si="10"/>
        <v>-62.539098972922503</v>
      </c>
      <c r="M450" s="445">
        <f t="shared" si="11"/>
        <v>-10.919117647058826</v>
      </c>
    </row>
    <row r="451" spans="1:13" x14ac:dyDescent="0.3">
      <c r="A451" s="124" t="s">
        <v>181</v>
      </c>
      <c r="B451" s="628" t="s">
        <v>204</v>
      </c>
      <c r="C451" s="619" t="s">
        <v>1056</v>
      </c>
      <c r="D451" s="620" t="s">
        <v>1055</v>
      </c>
      <c r="E451" s="124">
        <v>17.398459383753501</v>
      </c>
      <c r="F451" s="124">
        <v>22.801120448179269</v>
      </c>
      <c r="G451" s="124">
        <v>73.125</v>
      </c>
      <c r="H451" s="124">
        <v>73.125</v>
      </c>
      <c r="I451" s="124">
        <v>55.726540616246496</v>
      </c>
      <c r="J451" s="124">
        <v>95.926120448179262</v>
      </c>
      <c r="K451" s="445">
        <f t="shared" si="9"/>
        <v>-26.875</v>
      </c>
      <c r="L451" s="445">
        <f t="shared" si="10"/>
        <v>-44.273459383753504</v>
      </c>
      <c r="M451" s="445">
        <f t="shared" si="11"/>
        <v>-4.0738795518207382</v>
      </c>
    </row>
    <row r="452" spans="1:13" ht="15" thickBot="1" x14ac:dyDescent="0.35">
      <c r="A452" s="124" t="s">
        <v>181</v>
      </c>
      <c r="B452" s="628" t="s">
        <v>204</v>
      </c>
      <c r="C452" s="619" t="s">
        <v>1057</v>
      </c>
      <c r="D452" s="620" t="s">
        <v>1055</v>
      </c>
      <c r="E452" s="146">
        <v>12.956932773109244</v>
      </c>
      <c r="F452" s="124">
        <v>11.706932773109244</v>
      </c>
      <c r="G452" s="124">
        <v>87.5</v>
      </c>
      <c r="H452" s="124">
        <v>87.5</v>
      </c>
      <c r="I452" s="124">
        <v>74.543067226890756</v>
      </c>
      <c r="J452" s="124">
        <v>99.206932773109244</v>
      </c>
      <c r="K452" s="445">
        <f t="shared" si="9"/>
        <v>-12.5</v>
      </c>
      <c r="L452" s="445">
        <f t="shared" si="10"/>
        <v>-25.456932773109244</v>
      </c>
      <c r="M452" s="445">
        <f t="shared" si="11"/>
        <v>-0.79306722689075571</v>
      </c>
    </row>
    <row r="453" spans="1:13" x14ac:dyDescent="0.3">
      <c r="A453" s="124" t="s">
        <v>181</v>
      </c>
      <c r="B453" s="621" t="s">
        <v>207</v>
      </c>
      <c r="C453" s="622" t="s">
        <v>1052</v>
      </c>
      <c r="D453" s="293" t="s">
        <v>1053</v>
      </c>
      <c r="E453" s="293">
        <v>29.572644847412647</v>
      </c>
      <c r="F453" s="293">
        <v>17.873421298343896</v>
      </c>
      <c r="G453" s="293">
        <v>77.5</v>
      </c>
      <c r="H453" s="293">
        <v>77.5</v>
      </c>
      <c r="I453" s="293">
        <v>47.927355152587353</v>
      </c>
      <c r="J453" s="293">
        <v>95.373421298343899</v>
      </c>
      <c r="K453" s="445">
        <f t="shared" si="9"/>
        <v>-22.5</v>
      </c>
      <c r="L453" s="445">
        <f t="shared" si="10"/>
        <v>-52.072644847412647</v>
      </c>
      <c r="M453" s="445">
        <f t="shared" si="11"/>
        <v>-4.6265787016561006</v>
      </c>
    </row>
    <row r="454" spans="1:13" x14ac:dyDescent="0.3">
      <c r="A454" s="124" t="s">
        <v>181</v>
      </c>
      <c r="B454" s="624" t="s">
        <v>207</v>
      </c>
      <c r="C454" s="619" t="s">
        <v>1056</v>
      </c>
      <c r="D454" s="124" t="s">
        <v>1053</v>
      </c>
      <c r="E454" s="124">
        <v>17.467602830605927</v>
      </c>
      <c r="F454" s="124">
        <v>12.01826256818517</v>
      </c>
      <c r="G454" s="124">
        <v>87.5</v>
      </c>
      <c r="H454" s="124">
        <v>87.5</v>
      </c>
      <c r="I454" s="124">
        <v>70.032397169394073</v>
      </c>
      <c r="J454" s="124">
        <v>99.518262568185165</v>
      </c>
      <c r="K454" s="445">
        <f t="shared" si="9"/>
        <v>-12.5</v>
      </c>
      <c r="L454" s="445">
        <f t="shared" si="10"/>
        <v>-29.967602830605927</v>
      </c>
      <c r="M454" s="445">
        <f t="shared" si="11"/>
        <v>-0.4817374318148353</v>
      </c>
    </row>
    <row r="455" spans="1:13" x14ac:dyDescent="0.3">
      <c r="A455" s="124" t="s">
        <v>181</v>
      </c>
      <c r="B455" s="624" t="s">
        <v>207</v>
      </c>
      <c r="C455" s="619" t="s">
        <v>1057</v>
      </c>
      <c r="D455" s="146" t="s">
        <v>1053</v>
      </c>
      <c r="E455" s="124">
        <v>0</v>
      </c>
      <c r="F455" s="124">
        <v>0</v>
      </c>
      <c r="G455" s="124">
        <v>100</v>
      </c>
      <c r="H455" s="124">
        <v>100</v>
      </c>
      <c r="I455" s="124">
        <v>100</v>
      </c>
      <c r="J455" s="124">
        <v>100</v>
      </c>
      <c r="K455" s="445">
        <f t="shared" si="9"/>
        <v>0</v>
      </c>
      <c r="L455" s="445">
        <f t="shared" si="10"/>
        <v>0</v>
      </c>
      <c r="M455" s="445">
        <f t="shared" si="11"/>
        <v>0</v>
      </c>
    </row>
    <row r="456" spans="1:13" x14ac:dyDescent="0.3">
      <c r="A456" s="124" t="s">
        <v>181</v>
      </c>
      <c r="B456" s="624" t="s">
        <v>207</v>
      </c>
      <c r="C456" s="619" t="s">
        <v>1052</v>
      </c>
      <c r="D456" s="124" t="s">
        <v>1054</v>
      </c>
      <c r="E456" s="124">
        <v>29.481792717086837</v>
      </c>
      <c r="F456" s="124">
        <v>19.658613445378151</v>
      </c>
      <c r="G456" s="124">
        <v>71.25</v>
      </c>
      <c r="H456" s="124">
        <v>71.25</v>
      </c>
      <c r="I456" s="124">
        <v>41.768207282913167</v>
      </c>
      <c r="J456" s="124">
        <v>90.908613445378151</v>
      </c>
      <c r="K456" s="445">
        <f t="shared" si="9"/>
        <v>-28.75</v>
      </c>
      <c r="L456" s="445">
        <f t="shared" si="10"/>
        <v>-58.231792717086833</v>
      </c>
      <c r="M456" s="445">
        <f t="shared" si="11"/>
        <v>-9.0913865546218489</v>
      </c>
    </row>
    <row r="457" spans="1:13" x14ac:dyDescent="0.3">
      <c r="A457" s="124" t="s">
        <v>181</v>
      </c>
      <c r="B457" s="624" t="s">
        <v>207</v>
      </c>
      <c r="C457" s="619" t="s">
        <v>1056</v>
      </c>
      <c r="D457" s="146" t="s">
        <v>1054</v>
      </c>
      <c r="E457" s="146">
        <v>18.838112437957637</v>
      </c>
      <c r="F457" s="146">
        <v>17.491006929087426</v>
      </c>
      <c r="G457" s="146">
        <v>81.5</v>
      </c>
      <c r="H457" s="146">
        <v>81.5</v>
      </c>
      <c r="I457" s="146">
        <v>62.661887562042367</v>
      </c>
      <c r="J457" s="146">
        <v>98.991006929087433</v>
      </c>
      <c r="K457" s="445">
        <f t="shared" si="9"/>
        <v>-18.5</v>
      </c>
      <c r="L457" s="445">
        <f t="shared" si="10"/>
        <v>-37.338112437957633</v>
      </c>
      <c r="M457" s="445">
        <f t="shared" si="11"/>
        <v>-1.0089930709125667</v>
      </c>
    </row>
    <row r="458" spans="1:13" x14ac:dyDescent="0.3">
      <c r="A458" s="124" t="s">
        <v>181</v>
      </c>
      <c r="B458" s="624" t="s">
        <v>207</v>
      </c>
      <c r="C458" s="619" t="s">
        <v>1057</v>
      </c>
      <c r="D458" s="124" t="s">
        <v>1054</v>
      </c>
      <c r="E458" s="124">
        <v>6.3845029239766085</v>
      </c>
      <c r="F458" s="124">
        <v>4.9747284878863827</v>
      </c>
      <c r="G458" s="124">
        <v>96.625</v>
      </c>
      <c r="H458" s="124">
        <v>96.625</v>
      </c>
      <c r="I458" s="124">
        <v>90.240497076023388</v>
      </c>
      <c r="J458" s="124">
        <v>101.59972848788638</v>
      </c>
      <c r="K458" s="445">
        <f t="shared" si="9"/>
        <v>-3.375</v>
      </c>
      <c r="L458" s="445">
        <f t="shared" si="10"/>
        <v>-9.759502923976612</v>
      </c>
      <c r="M458" s="445">
        <f t="shared" si="11"/>
        <v>1.5997284878863809</v>
      </c>
    </row>
    <row r="459" spans="1:13" x14ac:dyDescent="0.3">
      <c r="A459" s="124" t="s">
        <v>181</v>
      </c>
      <c r="B459" s="624" t="s">
        <v>207</v>
      </c>
      <c r="C459" s="619" t="s">
        <v>1052</v>
      </c>
      <c r="D459" s="146" t="s">
        <v>1055</v>
      </c>
      <c r="E459" s="146">
        <v>26.289098972922503</v>
      </c>
      <c r="F459" s="146">
        <v>25.330882352941178</v>
      </c>
      <c r="G459" s="146">
        <v>63.75</v>
      </c>
      <c r="H459" s="146">
        <v>63.75</v>
      </c>
      <c r="I459" s="146">
        <v>37.460901027077497</v>
      </c>
      <c r="J459" s="146">
        <v>89.080882352941174</v>
      </c>
      <c r="K459" s="445">
        <f t="shared" si="9"/>
        <v>-36.25</v>
      </c>
      <c r="L459" s="445">
        <f t="shared" si="10"/>
        <v>-62.539098972922503</v>
      </c>
      <c r="M459" s="445">
        <f t="shared" si="11"/>
        <v>-10.919117647058826</v>
      </c>
    </row>
    <row r="460" spans="1:13" x14ac:dyDescent="0.3">
      <c r="A460" s="124" t="s">
        <v>181</v>
      </c>
      <c r="B460" s="624" t="s">
        <v>207</v>
      </c>
      <c r="C460" s="619" t="s">
        <v>1056</v>
      </c>
      <c r="D460" s="124" t="s">
        <v>1055</v>
      </c>
      <c r="E460" s="124">
        <v>17.398459383753501</v>
      </c>
      <c r="F460" s="124">
        <v>22.801120448179269</v>
      </c>
      <c r="G460" s="124">
        <v>73.125</v>
      </c>
      <c r="H460" s="124">
        <v>73.125</v>
      </c>
      <c r="I460" s="124">
        <v>55.726540616246496</v>
      </c>
      <c r="J460" s="124">
        <v>95.926120448179262</v>
      </c>
      <c r="K460" s="445">
        <f t="shared" si="9"/>
        <v>-26.875</v>
      </c>
      <c r="L460" s="445">
        <f t="shared" si="10"/>
        <v>-44.273459383753504</v>
      </c>
      <c r="M460" s="445">
        <f t="shared" si="11"/>
        <v>-4.0738795518207382</v>
      </c>
    </row>
    <row r="461" spans="1:13" ht="15" thickBot="1" x14ac:dyDescent="0.35">
      <c r="A461" s="124" t="s">
        <v>181</v>
      </c>
      <c r="B461" s="625" t="s">
        <v>207</v>
      </c>
      <c r="C461" s="626" t="s">
        <v>1057</v>
      </c>
      <c r="D461" s="577" t="s">
        <v>1055</v>
      </c>
      <c r="E461" s="577">
        <v>12.956932773109244</v>
      </c>
      <c r="F461" s="577">
        <v>11.706932773109244</v>
      </c>
      <c r="G461" s="577">
        <v>87.5</v>
      </c>
      <c r="H461" s="577">
        <v>87.5</v>
      </c>
      <c r="I461" s="577">
        <v>74.543067226890756</v>
      </c>
      <c r="J461" s="577">
        <v>99.206932773109244</v>
      </c>
      <c r="K461" s="445">
        <f t="shared" si="9"/>
        <v>-12.5</v>
      </c>
      <c r="L461" s="445">
        <f t="shared" si="10"/>
        <v>-25.456932773109244</v>
      </c>
      <c r="M461" s="445">
        <f t="shared" si="11"/>
        <v>-0.79306722689075571</v>
      </c>
    </row>
    <row r="462" spans="1:13" x14ac:dyDescent="0.3">
      <c r="A462" s="124" t="s">
        <v>181</v>
      </c>
      <c r="B462" s="292" t="s">
        <v>210</v>
      </c>
      <c r="C462" s="622" t="s">
        <v>1052</v>
      </c>
      <c r="D462" s="623" t="s">
        <v>1053</v>
      </c>
      <c r="E462" s="293">
        <v>25.634920634920633</v>
      </c>
      <c r="F462" s="293">
        <v>21.402116402116402</v>
      </c>
      <c r="G462" s="293">
        <v>61.666666666666664</v>
      </c>
      <c r="H462" s="293">
        <v>61.666666666666664</v>
      </c>
      <c r="I462" s="293">
        <v>36.031746031746032</v>
      </c>
      <c r="J462" s="293">
        <v>83.068783068783063</v>
      </c>
      <c r="K462" s="445">
        <f t="shared" si="9"/>
        <v>-38.333333333333336</v>
      </c>
      <c r="L462" s="445">
        <f t="shared" si="10"/>
        <v>-63.968253968253968</v>
      </c>
      <c r="M462" s="445">
        <f t="shared" si="11"/>
        <v>-16.931216931216937</v>
      </c>
    </row>
    <row r="463" spans="1:13" x14ac:dyDescent="0.3">
      <c r="A463" s="124" t="s">
        <v>181</v>
      </c>
      <c r="B463" s="207" t="s">
        <v>210</v>
      </c>
      <c r="C463" s="619" t="s">
        <v>1056</v>
      </c>
      <c r="D463" s="620" t="s">
        <v>1053</v>
      </c>
      <c r="E463" s="124">
        <v>14.166666666666666</v>
      </c>
      <c r="F463" s="124">
        <v>11.666666666666666</v>
      </c>
      <c r="G463" s="124">
        <v>85.833333333333329</v>
      </c>
      <c r="H463" s="124">
        <v>85.833333333333329</v>
      </c>
      <c r="I463" s="124">
        <v>71.666666666666657</v>
      </c>
      <c r="J463" s="124">
        <v>97.5</v>
      </c>
      <c r="K463" s="445">
        <f t="shared" si="9"/>
        <v>-14.166666666666671</v>
      </c>
      <c r="L463" s="445">
        <f t="shared" si="10"/>
        <v>-28.333333333333343</v>
      </c>
      <c r="M463" s="445">
        <f t="shared" si="11"/>
        <v>-2.5</v>
      </c>
    </row>
    <row r="464" spans="1:13" x14ac:dyDescent="0.3">
      <c r="A464" s="124" t="s">
        <v>181</v>
      </c>
      <c r="B464" s="207" t="s">
        <v>210</v>
      </c>
      <c r="C464" s="619" t="s">
        <v>1057</v>
      </c>
      <c r="D464" s="620" t="s">
        <v>1053</v>
      </c>
      <c r="E464" s="124">
        <v>0</v>
      </c>
      <c r="F464" s="124">
        <v>0</v>
      </c>
      <c r="G464" s="124">
        <v>100</v>
      </c>
      <c r="H464" s="124">
        <v>100</v>
      </c>
      <c r="I464" s="124">
        <v>100</v>
      </c>
      <c r="J464" s="124">
        <v>100</v>
      </c>
      <c r="K464" s="445">
        <f t="shared" si="9"/>
        <v>0</v>
      </c>
      <c r="L464" s="445">
        <f t="shared" si="10"/>
        <v>0</v>
      </c>
      <c r="M464" s="445">
        <f t="shared" si="11"/>
        <v>0</v>
      </c>
    </row>
    <row r="465" spans="1:13" x14ac:dyDescent="0.3">
      <c r="A465" s="124" t="s">
        <v>181</v>
      </c>
      <c r="B465" s="207" t="s">
        <v>210</v>
      </c>
      <c r="C465" s="619" t="s">
        <v>1052</v>
      </c>
      <c r="D465" s="620" t="s">
        <v>1054</v>
      </c>
      <c r="E465" s="124">
        <v>23.015873015873012</v>
      </c>
      <c r="F465" s="124">
        <v>25.317460317460313</v>
      </c>
      <c r="G465" s="124">
        <v>60.833333333333336</v>
      </c>
      <c r="H465" s="124">
        <v>60.833333333333336</v>
      </c>
      <c r="I465" s="124">
        <v>37.817460317460323</v>
      </c>
      <c r="J465" s="124">
        <v>86.150793650793645</v>
      </c>
      <c r="K465" s="445">
        <f t="shared" si="9"/>
        <v>-39.166666666666664</v>
      </c>
      <c r="L465" s="445">
        <f t="shared" si="10"/>
        <v>-62.182539682539677</v>
      </c>
      <c r="M465" s="445">
        <f t="shared" si="11"/>
        <v>-13.849206349206355</v>
      </c>
    </row>
    <row r="466" spans="1:13" x14ac:dyDescent="0.3">
      <c r="A466" s="124" t="s">
        <v>181</v>
      </c>
      <c r="B466" s="207" t="s">
        <v>210</v>
      </c>
      <c r="C466" s="619" t="s">
        <v>1056</v>
      </c>
      <c r="D466" s="620" t="s">
        <v>1054</v>
      </c>
      <c r="E466" s="124">
        <v>22.407407407407405</v>
      </c>
      <c r="F466" s="124">
        <v>13.055555555555555</v>
      </c>
      <c r="G466" s="124">
        <v>83.333333333333329</v>
      </c>
      <c r="H466" s="124">
        <v>83.333333333333329</v>
      </c>
      <c r="I466" s="124">
        <v>60.925925925925924</v>
      </c>
      <c r="J466" s="124">
        <v>96.388888888888886</v>
      </c>
      <c r="K466" s="445">
        <f t="shared" si="9"/>
        <v>-16.666666666666671</v>
      </c>
      <c r="L466" s="445">
        <f t="shared" si="10"/>
        <v>-39.074074074074076</v>
      </c>
      <c r="M466" s="445">
        <f t="shared" si="11"/>
        <v>-3.6111111111111143</v>
      </c>
    </row>
    <row r="467" spans="1:13" x14ac:dyDescent="0.3">
      <c r="A467" s="124" t="s">
        <v>181</v>
      </c>
      <c r="B467" s="207" t="s">
        <v>210</v>
      </c>
      <c r="C467" s="619" t="s">
        <v>1057</v>
      </c>
      <c r="D467" s="620" t="s">
        <v>1054</v>
      </c>
      <c r="E467" s="124">
        <v>19.574074074074073</v>
      </c>
      <c r="F467" s="124">
        <v>3.7407407407407405</v>
      </c>
      <c r="G467" s="124">
        <v>95.833333333333329</v>
      </c>
      <c r="H467" s="124">
        <v>95.833333333333329</v>
      </c>
      <c r="I467" s="124">
        <v>76.259259259259252</v>
      </c>
      <c r="J467" s="124">
        <v>99.574074074074076</v>
      </c>
      <c r="K467" s="445">
        <f t="shared" si="9"/>
        <v>-4.1666666666666714</v>
      </c>
      <c r="L467" s="445">
        <f t="shared" si="10"/>
        <v>-23.740740740740748</v>
      </c>
      <c r="M467" s="445">
        <f t="shared" si="11"/>
        <v>-0.42592592592592382</v>
      </c>
    </row>
    <row r="468" spans="1:13" x14ac:dyDescent="0.3">
      <c r="A468" s="124" t="s">
        <v>181</v>
      </c>
      <c r="B468" s="207" t="s">
        <v>210</v>
      </c>
      <c r="C468" s="619" t="s">
        <v>1052</v>
      </c>
      <c r="D468" s="620" t="s">
        <v>1055</v>
      </c>
      <c r="E468" s="124">
        <v>22.777777777777775</v>
      </c>
      <c r="F468" s="124">
        <v>23.888888888888886</v>
      </c>
      <c r="G468" s="124">
        <v>69.166666666666671</v>
      </c>
      <c r="H468" s="124">
        <v>69.166666666666671</v>
      </c>
      <c r="I468" s="124">
        <v>46.3888888888889</v>
      </c>
      <c r="J468" s="124">
        <v>93.055555555555557</v>
      </c>
      <c r="K468" s="445">
        <f t="shared" si="9"/>
        <v>-30.833333333333329</v>
      </c>
      <c r="L468" s="445">
        <f t="shared" si="10"/>
        <v>-53.6111111111111</v>
      </c>
      <c r="M468" s="445">
        <f t="shared" si="11"/>
        <v>-6.9444444444444429</v>
      </c>
    </row>
    <row r="469" spans="1:13" x14ac:dyDescent="0.3">
      <c r="A469" s="124" t="s">
        <v>181</v>
      </c>
      <c r="B469" s="207" t="s">
        <v>210</v>
      </c>
      <c r="C469" s="619" t="s">
        <v>1056</v>
      </c>
      <c r="D469" s="620" t="s">
        <v>1055</v>
      </c>
      <c r="E469" s="124">
        <v>19.166666666666668</v>
      </c>
      <c r="F469" s="124">
        <v>14.444444444444443</v>
      </c>
      <c r="G469" s="124">
        <v>80</v>
      </c>
      <c r="H469" s="124">
        <v>80</v>
      </c>
      <c r="I469" s="124">
        <v>60.833333333333329</v>
      </c>
      <c r="J469" s="124">
        <v>94.444444444444443</v>
      </c>
      <c r="K469" s="445">
        <f t="shared" si="9"/>
        <v>-20</v>
      </c>
      <c r="L469" s="445">
        <f t="shared" si="10"/>
        <v>-39.166666666666671</v>
      </c>
      <c r="M469" s="445">
        <f t="shared" si="11"/>
        <v>-5.5555555555555571</v>
      </c>
    </row>
    <row r="470" spans="1:13" ht="15" thickBot="1" x14ac:dyDescent="0.35">
      <c r="A470" s="124" t="s">
        <v>181</v>
      </c>
      <c r="B470" s="629" t="s">
        <v>210</v>
      </c>
      <c r="C470" s="626" t="s">
        <v>1057</v>
      </c>
      <c r="D470" s="627" t="s">
        <v>1055</v>
      </c>
      <c r="E470" s="577">
        <v>28.981481481481481</v>
      </c>
      <c r="F470" s="577">
        <v>11.203703703703704</v>
      </c>
      <c r="G470" s="577">
        <v>85</v>
      </c>
      <c r="H470" s="577">
        <v>85</v>
      </c>
      <c r="I470" s="577">
        <v>56.018518518518519</v>
      </c>
      <c r="J470" s="577">
        <v>96.203703703703709</v>
      </c>
      <c r="K470" s="445">
        <f t="shared" si="9"/>
        <v>-15</v>
      </c>
      <c r="L470" s="445">
        <f t="shared" si="10"/>
        <v>-43.981481481481481</v>
      </c>
      <c r="M470" s="445">
        <f t="shared" si="11"/>
        <v>-3.7962962962962905</v>
      </c>
    </row>
    <row r="471" spans="1:13" x14ac:dyDescent="0.3">
      <c r="A471" s="124" t="s">
        <v>181</v>
      </c>
      <c r="B471" s="207" t="s">
        <v>214</v>
      </c>
      <c r="C471" s="619" t="s">
        <v>1052</v>
      </c>
      <c r="D471" s="620" t="s">
        <v>1053</v>
      </c>
      <c r="E471" s="293">
        <v>25.634920634920633</v>
      </c>
      <c r="F471" s="293">
        <v>21.402116402116402</v>
      </c>
      <c r="G471" s="293">
        <v>61.666666666666664</v>
      </c>
      <c r="H471" s="293">
        <v>61.666666666666664</v>
      </c>
      <c r="I471" s="293">
        <v>36.031746031746032</v>
      </c>
      <c r="J471" s="293">
        <v>83.068783068783063</v>
      </c>
      <c r="K471" s="445">
        <f t="shared" si="9"/>
        <v>-38.333333333333336</v>
      </c>
      <c r="L471" s="445">
        <f t="shared" si="10"/>
        <v>-63.968253968253968</v>
      </c>
      <c r="M471" s="445">
        <f t="shared" si="11"/>
        <v>-16.931216931216937</v>
      </c>
    </row>
    <row r="472" spans="1:13" x14ac:dyDescent="0.3">
      <c r="A472" s="124" t="s">
        <v>181</v>
      </c>
      <c r="B472" s="207" t="s">
        <v>214</v>
      </c>
      <c r="C472" s="619" t="s">
        <v>1056</v>
      </c>
      <c r="D472" s="620" t="s">
        <v>1053</v>
      </c>
      <c r="E472" s="124">
        <v>14.166666666666666</v>
      </c>
      <c r="F472" s="124">
        <v>11.666666666666666</v>
      </c>
      <c r="G472" s="124">
        <v>85.833333333333329</v>
      </c>
      <c r="H472" s="124">
        <v>85.833333333333329</v>
      </c>
      <c r="I472" s="124">
        <v>71.666666666666657</v>
      </c>
      <c r="J472" s="124">
        <v>97.5</v>
      </c>
      <c r="K472" s="445">
        <f t="shared" si="9"/>
        <v>-14.166666666666671</v>
      </c>
      <c r="L472" s="445">
        <f t="shared" si="10"/>
        <v>-28.333333333333343</v>
      </c>
      <c r="M472" s="445">
        <f t="shared" si="11"/>
        <v>-2.5</v>
      </c>
    </row>
    <row r="473" spans="1:13" x14ac:dyDescent="0.3">
      <c r="A473" s="124" t="s">
        <v>181</v>
      </c>
      <c r="B473" s="207" t="s">
        <v>214</v>
      </c>
      <c r="C473" s="619" t="s">
        <v>1057</v>
      </c>
      <c r="D473" s="620" t="s">
        <v>1053</v>
      </c>
      <c r="E473" s="124">
        <v>0</v>
      </c>
      <c r="F473" s="124">
        <v>0</v>
      </c>
      <c r="G473" s="124">
        <v>100</v>
      </c>
      <c r="H473" s="124">
        <v>100</v>
      </c>
      <c r="I473" s="124">
        <v>100</v>
      </c>
      <c r="J473" s="124">
        <v>100</v>
      </c>
      <c r="K473" s="445">
        <f t="shared" si="9"/>
        <v>0</v>
      </c>
      <c r="L473" s="445">
        <f t="shared" si="10"/>
        <v>0</v>
      </c>
      <c r="M473" s="445">
        <f t="shared" si="11"/>
        <v>0</v>
      </c>
    </row>
    <row r="474" spans="1:13" x14ac:dyDescent="0.3">
      <c r="A474" s="124" t="s">
        <v>181</v>
      </c>
      <c r="B474" s="207" t="s">
        <v>214</v>
      </c>
      <c r="C474" s="619" t="s">
        <v>1052</v>
      </c>
      <c r="D474" s="620" t="s">
        <v>1054</v>
      </c>
      <c r="E474" s="124">
        <v>23.015873015873012</v>
      </c>
      <c r="F474" s="124">
        <v>25.317460317460313</v>
      </c>
      <c r="G474" s="124">
        <v>60.833333333333336</v>
      </c>
      <c r="H474" s="124">
        <v>60.833333333333336</v>
      </c>
      <c r="I474" s="124">
        <v>37.817460317460323</v>
      </c>
      <c r="J474" s="124">
        <v>86.150793650793645</v>
      </c>
      <c r="K474" s="445">
        <f t="shared" si="9"/>
        <v>-39.166666666666664</v>
      </c>
      <c r="L474" s="445">
        <f t="shared" si="10"/>
        <v>-62.182539682539677</v>
      </c>
      <c r="M474" s="445">
        <f t="shared" si="11"/>
        <v>-13.849206349206355</v>
      </c>
    </row>
    <row r="475" spans="1:13" x14ac:dyDescent="0.3">
      <c r="A475" s="124" t="s">
        <v>181</v>
      </c>
      <c r="B475" s="207" t="s">
        <v>214</v>
      </c>
      <c r="C475" s="619" t="s">
        <v>1056</v>
      </c>
      <c r="D475" s="620" t="s">
        <v>1054</v>
      </c>
      <c r="E475" s="124">
        <v>22.407407407407405</v>
      </c>
      <c r="F475" s="124">
        <v>13.055555555555555</v>
      </c>
      <c r="G475" s="124">
        <v>83.333333333333329</v>
      </c>
      <c r="H475" s="124">
        <v>83.333333333333329</v>
      </c>
      <c r="I475" s="124">
        <v>60.925925925925924</v>
      </c>
      <c r="J475" s="124">
        <v>96.388888888888886</v>
      </c>
      <c r="K475" s="445">
        <f t="shared" si="9"/>
        <v>-16.666666666666671</v>
      </c>
      <c r="L475" s="445">
        <f t="shared" si="10"/>
        <v>-39.074074074074076</v>
      </c>
      <c r="M475" s="445">
        <f t="shared" si="11"/>
        <v>-3.6111111111111143</v>
      </c>
    </row>
    <row r="476" spans="1:13" x14ac:dyDescent="0.3">
      <c r="A476" s="124" t="s">
        <v>181</v>
      </c>
      <c r="B476" s="207" t="s">
        <v>214</v>
      </c>
      <c r="C476" s="619" t="s">
        <v>1057</v>
      </c>
      <c r="D476" s="620" t="s">
        <v>1054</v>
      </c>
      <c r="E476" s="124">
        <v>19.574074074074073</v>
      </c>
      <c r="F476" s="124">
        <v>3.7407407407407405</v>
      </c>
      <c r="G476" s="124">
        <v>95.833333333333329</v>
      </c>
      <c r="H476" s="124">
        <v>95.833333333333329</v>
      </c>
      <c r="I476" s="124">
        <v>76.259259259259252</v>
      </c>
      <c r="J476" s="124">
        <v>99.574074074074076</v>
      </c>
      <c r="K476" s="445">
        <f t="shared" si="9"/>
        <v>-4.1666666666666714</v>
      </c>
      <c r="L476" s="445">
        <f t="shared" si="10"/>
        <v>-23.740740740740748</v>
      </c>
      <c r="M476" s="445">
        <f t="shared" si="11"/>
        <v>-0.42592592592592382</v>
      </c>
    </row>
    <row r="477" spans="1:13" x14ac:dyDescent="0.3">
      <c r="A477" s="124" t="s">
        <v>181</v>
      </c>
      <c r="B477" s="207" t="s">
        <v>214</v>
      </c>
      <c r="C477" s="619" t="s">
        <v>1052</v>
      </c>
      <c r="D477" s="620" t="s">
        <v>1055</v>
      </c>
      <c r="E477" s="124">
        <v>22.777777777777775</v>
      </c>
      <c r="F477" s="124">
        <v>23.888888888888886</v>
      </c>
      <c r="G477" s="124">
        <v>69.166666666666671</v>
      </c>
      <c r="H477" s="124">
        <v>69.166666666666671</v>
      </c>
      <c r="I477" s="124">
        <v>46.3888888888889</v>
      </c>
      <c r="J477" s="124">
        <v>93.055555555555557</v>
      </c>
      <c r="K477" s="445">
        <f t="shared" si="9"/>
        <v>-30.833333333333329</v>
      </c>
      <c r="L477" s="445">
        <f t="shared" si="10"/>
        <v>-53.6111111111111</v>
      </c>
      <c r="M477" s="445">
        <f t="shared" si="11"/>
        <v>-6.9444444444444429</v>
      </c>
    </row>
    <row r="478" spans="1:13" x14ac:dyDescent="0.3">
      <c r="A478" s="124" t="s">
        <v>181</v>
      </c>
      <c r="B478" s="207" t="s">
        <v>214</v>
      </c>
      <c r="C478" s="619" t="s">
        <v>1056</v>
      </c>
      <c r="D478" s="620" t="s">
        <v>1055</v>
      </c>
      <c r="E478" s="124">
        <v>19.166666666666668</v>
      </c>
      <c r="F478" s="124">
        <v>14.444444444444443</v>
      </c>
      <c r="G478" s="124">
        <v>80</v>
      </c>
      <c r="H478" s="124">
        <v>80</v>
      </c>
      <c r="I478" s="124">
        <v>60.833333333333329</v>
      </c>
      <c r="J478" s="124">
        <v>94.444444444444443</v>
      </c>
      <c r="K478" s="445">
        <f t="shared" si="9"/>
        <v>-20</v>
      </c>
      <c r="L478" s="445">
        <f t="shared" si="10"/>
        <v>-39.166666666666671</v>
      </c>
      <c r="M478" s="445">
        <f t="shared" si="11"/>
        <v>-5.5555555555555571</v>
      </c>
    </row>
    <row r="479" spans="1:13" ht="15" thickBot="1" x14ac:dyDescent="0.35">
      <c r="A479" s="124" t="s">
        <v>181</v>
      </c>
      <c r="B479" s="207" t="s">
        <v>214</v>
      </c>
      <c r="C479" s="619" t="s">
        <v>1057</v>
      </c>
      <c r="D479" s="620" t="s">
        <v>1055</v>
      </c>
      <c r="E479" s="146">
        <v>28.981481481481481</v>
      </c>
      <c r="F479" s="146">
        <v>11.203703703703704</v>
      </c>
      <c r="G479" s="146">
        <v>85</v>
      </c>
      <c r="H479" s="577">
        <v>85</v>
      </c>
      <c r="I479" s="577">
        <v>56.018518518518519</v>
      </c>
      <c r="J479" s="577">
        <v>96.203703703703709</v>
      </c>
      <c r="K479" s="445">
        <f t="shared" si="9"/>
        <v>-15</v>
      </c>
      <c r="L479" s="445">
        <f t="shared" si="10"/>
        <v>-43.981481481481481</v>
      </c>
      <c r="M479" s="445">
        <f t="shared" si="11"/>
        <v>-3.7962962962962905</v>
      </c>
    </row>
    <row r="480" spans="1:13" x14ac:dyDescent="0.3">
      <c r="A480" s="124" t="s">
        <v>181</v>
      </c>
      <c r="B480" s="292" t="s">
        <v>217</v>
      </c>
      <c r="C480" s="622" t="s">
        <v>1052</v>
      </c>
      <c r="D480" s="623" t="s">
        <v>1053</v>
      </c>
      <c r="E480" s="293">
        <v>25.634920634920633</v>
      </c>
      <c r="F480" s="293">
        <v>21.402116402116402</v>
      </c>
      <c r="G480" s="293">
        <v>61.666666666666664</v>
      </c>
      <c r="H480" s="293">
        <v>61.666666666666664</v>
      </c>
      <c r="I480" s="293">
        <v>36.031746031746032</v>
      </c>
      <c r="J480" s="293">
        <v>83.068783068783063</v>
      </c>
      <c r="K480" s="445">
        <f t="shared" si="9"/>
        <v>-38.333333333333336</v>
      </c>
      <c r="L480" s="445">
        <f t="shared" si="10"/>
        <v>-63.968253968253968</v>
      </c>
      <c r="M480" s="445">
        <f t="shared" si="11"/>
        <v>-16.931216931216937</v>
      </c>
    </row>
    <row r="481" spans="1:13" x14ac:dyDescent="0.3">
      <c r="A481" s="124" t="s">
        <v>181</v>
      </c>
      <c r="B481" s="207" t="s">
        <v>217</v>
      </c>
      <c r="C481" s="619" t="s">
        <v>1056</v>
      </c>
      <c r="D481" s="620" t="s">
        <v>1053</v>
      </c>
      <c r="E481" s="124">
        <v>14.166666666666666</v>
      </c>
      <c r="F481" s="124">
        <v>11.666666666666666</v>
      </c>
      <c r="G481" s="124">
        <v>85.833333333333329</v>
      </c>
      <c r="H481" s="124">
        <v>85.833333333333329</v>
      </c>
      <c r="I481" s="124">
        <v>71.666666666666657</v>
      </c>
      <c r="J481" s="124">
        <v>97.5</v>
      </c>
      <c r="K481" s="445">
        <f t="shared" si="9"/>
        <v>-14.166666666666671</v>
      </c>
      <c r="L481" s="445">
        <f t="shared" si="10"/>
        <v>-28.333333333333343</v>
      </c>
      <c r="M481" s="445">
        <f t="shared" si="11"/>
        <v>-2.5</v>
      </c>
    </row>
    <row r="482" spans="1:13" x14ac:dyDescent="0.3">
      <c r="A482" s="124" t="s">
        <v>181</v>
      </c>
      <c r="B482" s="207" t="s">
        <v>217</v>
      </c>
      <c r="C482" s="619" t="s">
        <v>1057</v>
      </c>
      <c r="D482" s="620" t="s">
        <v>1053</v>
      </c>
      <c r="E482" s="146">
        <v>0</v>
      </c>
      <c r="F482" s="146">
        <v>0</v>
      </c>
      <c r="G482" s="146">
        <v>100</v>
      </c>
      <c r="H482" s="146">
        <v>100</v>
      </c>
      <c r="I482" s="146">
        <v>100</v>
      </c>
      <c r="J482" s="146">
        <v>100</v>
      </c>
      <c r="K482" s="445">
        <f t="shared" si="9"/>
        <v>0</v>
      </c>
      <c r="L482" s="445">
        <f t="shared" si="10"/>
        <v>0</v>
      </c>
      <c r="M482" s="445">
        <f t="shared" si="11"/>
        <v>0</v>
      </c>
    </row>
    <row r="483" spans="1:13" x14ac:dyDescent="0.3">
      <c r="A483" s="124" t="s">
        <v>181</v>
      </c>
      <c r="B483" s="207" t="s">
        <v>217</v>
      </c>
      <c r="C483" s="619" t="s">
        <v>1052</v>
      </c>
      <c r="D483" s="620" t="s">
        <v>1054</v>
      </c>
      <c r="E483" s="124">
        <v>23.015873015873012</v>
      </c>
      <c r="F483" s="124">
        <v>25.317460317460313</v>
      </c>
      <c r="G483" s="124">
        <v>60.833333333333336</v>
      </c>
      <c r="H483" s="124">
        <v>60.833333333333336</v>
      </c>
      <c r="I483" s="124">
        <v>37.817460317460323</v>
      </c>
      <c r="J483" s="124">
        <v>86.150793650793645</v>
      </c>
      <c r="K483" s="445">
        <f t="shared" si="9"/>
        <v>-39.166666666666664</v>
      </c>
      <c r="L483" s="445">
        <f t="shared" si="10"/>
        <v>-62.182539682539677</v>
      </c>
      <c r="M483" s="445">
        <f t="shared" si="11"/>
        <v>-13.849206349206355</v>
      </c>
    </row>
    <row r="484" spans="1:13" x14ac:dyDescent="0.3">
      <c r="A484" s="124" t="s">
        <v>181</v>
      </c>
      <c r="B484" s="207" t="s">
        <v>217</v>
      </c>
      <c r="C484" s="619" t="s">
        <v>1056</v>
      </c>
      <c r="D484" s="620" t="s">
        <v>1054</v>
      </c>
      <c r="E484" s="124">
        <v>22.407407407407405</v>
      </c>
      <c r="F484" s="124">
        <v>13.055555555555555</v>
      </c>
      <c r="G484" s="124">
        <v>83.333333333333329</v>
      </c>
      <c r="H484" s="124">
        <v>83.333333333333329</v>
      </c>
      <c r="I484" s="124">
        <v>60.925925925925924</v>
      </c>
      <c r="J484" s="124">
        <v>96.388888888888886</v>
      </c>
      <c r="K484" s="445">
        <f t="shared" si="9"/>
        <v>-16.666666666666671</v>
      </c>
      <c r="L484" s="445">
        <f t="shared" si="10"/>
        <v>-39.074074074074076</v>
      </c>
      <c r="M484" s="445">
        <f t="shared" si="11"/>
        <v>-3.6111111111111143</v>
      </c>
    </row>
    <row r="485" spans="1:13" x14ac:dyDescent="0.3">
      <c r="A485" s="124" t="s">
        <v>181</v>
      </c>
      <c r="B485" s="207" t="s">
        <v>217</v>
      </c>
      <c r="C485" s="619" t="s">
        <v>1057</v>
      </c>
      <c r="D485" s="620" t="s">
        <v>1054</v>
      </c>
      <c r="E485" s="124">
        <v>19.574074074074073</v>
      </c>
      <c r="F485" s="124">
        <v>3.7407407407407405</v>
      </c>
      <c r="G485" s="124">
        <v>95.833333333333329</v>
      </c>
      <c r="H485" s="124">
        <v>95.833333333333329</v>
      </c>
      <c r="I485" s="124">
        <v>76.259259259259252</v>
      </c>
      <c r="J485" s="124">
        <v>99.574074074074076</v>
      </c>
      <c r="K485" s="445">
        <f t="shared" si="9"/>
        <v>-4.1666666666666714</v>
      </c>
      <c r="L485" s="445">
        <f t="shared" si="10"/>
        <v>-23.740740740740748</v>
      </c>
      <c r="M485" s="445">
        <f t="shared" si="11"/>
        <v>-0.42592592592592382</v>
      </c>
    </row>
    <row r="486" spans="1:13" x14ac:dyDescent="0.3">
      <c r="A486" s="124" t="s">
        <v>181</v>
      </c>
      <c r="B486" s="207" t="s">
        <v>217</v>
      </c>
      <c r="C486" s="619" t="s">
        <v>1052</v>
      </c>
      <c r="D486" s="620" t="s">
        <v>1055</v>
      </c>
      <c r="E486" s="124">
        <v>22.777777777777775</v>
      </c>
      <c r="F486" s="124">
        <v>23.888888888888886</v>
      </c>
      <c r="G486" s="124">
        <v>69.166666666666671</v>
      </c>
      <c r="H486" s="124">
        <v>69.166666666666671</v>
      </c>
      <c r="I486" s="124">
        <v>46.3888888888889</v>
      </c>
      <c r="J486" s="124">
        <v>93.055555555555557</v>
      </c>
      <c r="K486" s="445">
        <f t="shared" si="9"/>
        <v>-30.833333333333329</v>
      </c>
      <c r="L486" s="445">
        <f t="shared" si="10"/>
        <v>-53.6111111111111</v>
      </c>
      <c r="M486" s="445">
        <f t="shared" si="11"/>
        <v>-6.9444444444444429</v>
      </c>
    </row>
    <row r="487" spans="1:13" x14ac:dyDescent="0.3">
      <c r="A487" s="124" t="s">
        <v>181</v>
      </c>
      <c r="B487" s="207" t="s">
        <v>217</v>
      </c>
      <c r="C487" s="619" t="s">
        <v>1056</v>
      </c>
      <c r="D487" s="620" t="s">
        <v>1055</v>
      </c>
      <c r="E487" s="124">
        <v>19.166666666666668</v>
      </c>
      <c r="F487" s="124">
        <v>14.444444444444443</v>
      </c>
      <c r="G487" s="124">
        <v>80</v>
      </c>
      <c r="H487" s="124">
        <v>80</v>
      </c>
      <c r="I487" s="124">
        <v>60.833333333333329</v>
      </c>
      <c r="J487" s="124">
        <v>94.444444444444443</v>
      </c>
      <c r="K487" s="445">
        <f t="shared" si="9"/>
        <v>-20</v>
      </c>
      <c r="L487" s="445">
        <f t="shared" si="10"/>
        <v>-39.166666666666671</v>
      </c>
      <c r="M487" s="445">
        <f t="shared" si="11"/>
        <v>-5.5555555555555571</v>
      </c>
    </row>
    <row r="488" spans="1:13" ht="15" thickBot="1" x14ac:dyDescent="0.35">
      <c r="A488" s="124" t="s">
        <v>181</v>
      </c>
      <c r="B488" s="629" t="s">
        <v>217</v>
      </c>
      <c r="C488" s="626" t="s">
        <v>1057</v>
      </c>
      <c r="D488" s="627" t="s">
        <v>1055</v>
      </c>
      <c r="E488" s="146">
        <v>28.981481481481481</v>
      </c>
      <c r="F488" s="146">
        <v>11.203703703703704</v>
      </c>
      <c r="G488" s="146">
        <v>85</v>
      </c>
      <c r="H488" s="577">
        <v>85</v>
      </c>
      <c r="I488" s="577">
        <v>56.018518518518519</v>
      </c>
      <c r="J488" s="577">
        <v>96.203703703703709</v>
      </c>
      <c r="K488" s="445">
        <f t="shared" si="9"/>
        <v>-15</v>
      </c>
      <c r="L488" s="445">
        <f t="shared" si="10"/>
        <v>-43.981481481481481</v>
      </c>
      <c r="M488" s="445">
        <f t="shared" si="11"/>
        <v>-3.7962962962962905</v>
      </c>
    </row>
    <row r="489" spans="1:13" x14ac:dyDescent="0.3">
      <c r="A489" s="124" t="s">
        <v>181</v>
      </c>
      <c r="B489" s="292" t="s">
        <v>219</v>
      </c>
      <c r="C489" s="622" t="s">
        <v>1052</v>
      </c>
      <c r="D489" s="623" t="s">
        <v>1053</v>
      </c>
      <c r="E489" s="293">
        <v>26.712018140589571</v>
      </c>
      <c r="F489" s="293">
        <v>16.553287981859409</v>
      </c>
      <c r="G489" s="293">
        <v>58.571428571428569</v>
      </c>
      <c r="H489" s="293">
        <v>58.571428571428569</v>
      </c>
      <c r="I489" s="293">
        <v>31.859410430838999</v>
      </c>
      <c r="J489" s="293">
        <v>75.124716553287982</v>
      </c>
      <c r="K489" s="445">
        <f t="shared" si="9"/>
        <v>-41.428571428571431</v>
      </c>
      <c r="L489" s="445">
        <f t="shared" si="10"/>
        <v>-68.140589569160994</v>
      </c>
      <c r="M489" s="445">
        <f t="shared" si="11"/>
        <v>-24.875283446712018</v>
      </c>
    </row>
    <row r="490" spans="1:13" x14ac:dyDescent="0.3">
      <c r="A490" s="124" t="s">
        <v>181</v>
      </c>
      <c r="B490" s="207" t="s">
        <v>219</v>
      </c>
      <c r="C490" s="619" t="s">
        <v>1056</v>
      </c>
      <c r="D490" s="620" t="s">
        <v>1053</v>
      </c>
      <c r="E490" s="124">
        <v>22.142857142857142</v>
      </c>
      <c r="F490" s="124">
        <v>11.428571428571429</v>
      </c>
      <c r="G490" s="124">
        <v>77.857142857142861</v>
      </c>
      <c r="H490" s="124">
        <v>77.857142857142861</v>
      </c>
      <c r="I490" s="124">
        <v>55.714285714285722</v>
      </c>
      <c r="J490" s="124">
        <v>89.285714285714292</v>
      </c>
      <c r="K490" s="445">
        <f t="shared" si="9"/>
        <v>-22.142857142857139</v>
      </c>
      <c r="L490" s="445">
        <f t="shared" si="10"/>
        <v>-44.285714285714278</v>
      </c>
      <c r="M490" s="445">
        <f t="shared" si="11"/>
        <v>-10.714285714285708</v>
      </c>
    </row>
    <row r="491" spans="1:13" x14ac:dyDescent="0.3">
      <c r="A491" s="124" t="s">
        <v>181</v>
      </c>
      <c r="B491" s="207" t="s">
        <v>219</v>
      </c>
      <c r="C491" s="619" t="s">
        <v>1057</v>
      </c>
      <c r="D491" s="620" t="s">
        <v>1053</v>
      </c>
      <c r="E491" s="146">
        <v>0</v>
      </c>
      <c r="F491" s="146">
        <v>0</v>
      </c>
      <c r="G491" s="146">
        <v>100</v>
      </c>
      <c r="H491" s="146">
        <v>100</v>
      </c>
      <c r="I491" s="146">
        <v>100</v>
      </c>
      <c r="J491" s="146">
        <v>100</v>
      </c>
      <c r="K491" s="445">
        <f t="shared" si="9"/>
        <v>0</v>
      </c>
      <c r="L491" s="445">
        <f t="shared" si="10"/>
        <v>0</v>
      </c>
      <c r="M491" s="445">
        <f t="shared" si="11"/>
        <v>0</v>
      </c>
    </row>
    <row r="492" spans="1:13" x14ac:dyDescent="0.3">
      <c r="A492" s="124" t="s">
        <v>181</v>
      </c>
      <c r="B492" s="207" t="s">
        <v>219</v>
      </c>
      <c r="C492" s="619" t="s">
        <v>1052</v>
      </c>
      <c r="D492" s="620" t="s">
        <v>1054</v>
      </c>
      <c r="E492" s="124">
        <v>36.213151927437643</v>
      </c>
      <c r="F492" s="124">
        <v>22.414965986394559</v>
      </c>
      <c r="G492" s="124">
        <v>58.571428571428569</v>
      </c>
      <c r="H492" s="124">
        <v>58.571428571428569</v>
      </c>
      <c r="I492" s="124">
        <v>22.358276643990926</v>
      </c>
      <c r="J492" s="124">
        <v>80.986394557823132</v>
      </c>
      <c r="K492" s="445">
        <f t="shared" si="9"/>
        <v>-41.428571428571431</v>
      </c>
      <c r="L492" s="445">
        <f t="shared" si="10"/>
        <v>-77.641723356009066</v>
      </c>
      <c r="M492" s="445">
        <f t="shared" si="11"/>
        <v>-19.013605442176868</v>
      </c>
    </row>
    <row r="493" spans="1:13" x14ac:dyDescent="0.3">
      <c r="A493" s="124" t="s">
        <v>181</v>
      </c>
      <c r="B493" s="207" t="s">
        <v>219</v>
      </c>
      <c r="C493" s="619" t="s">
        <v>1056</v>
      </c>
      <c r="D493" s="620" t="s">
        <v>1054</v>
      </c>
      <c r="E493" s="124">
        <v>27.256235827664398</v>
      </c>
      <c r="F493" s="124">
        <v>20.260770975056687</v>
      </c>
      <c r="G493" s="124">
        <v>73.571428571428569</v>
      </c>
      <c r="H493" s="124">
        <v>73.571428571428569</v>
      </c>
      <c r="I493" s="124">
        <v>46.315192743764172</v>
      </c>
      <c r="J493" s="124">
        <v>93.832199546485256</v>
      </c>
      <c r="K493" s="445">
        <f t="shared" si="9"/>
        <v>-26.428571428571431</v>
      </c>
      <c r="L493" s="445">
        <f t="shared" si="10"/>
        <v>-53.684807256235828</v>
      </c>
      <c r="M493" s="445">
        <f t="shared" si="11"/>
        <v>-6.1678004535147437</v>
      </c>
    </row>
    <row r="494" spans="1:13" x14ac:dyDescent="0.3">
      <c r="A494" s="124" t="s">
        <v>181</v>
      </c>
      <c r="B494" s="207" t="s">
        <v>219</v>
      </c>
      <c r="C494" s="619" t="s">
        <v>1057</v>
      </c>
      <c r="D494" s="620" t="s">
        <v>1054</v>
      </c>
      <c r="E494" s="124">
        <v>11.639455782312924</v>
      </c>
      <c r="F494" s="124">
        <v>9.975056689342404</v>
      </c>
      <c r="G494" s="124">
        <v>97.285714285714292</v>
      </c>
      <c r="H494" s="124">
        <v>97.285714285714292</v>
      </c>
      <c r="I494" s="124">
        <v>85.64625850340137</v>
      </c>
      <c r="J494" s="124">
        <v>107.2607709750567</v>
      </c>
      <c r="K494" s="445">
        <f t="shared" si="9"/>
        <v>-2.7142857142857082</v>
      </c>
      <c r="L494" s="445">
        <f t="shared" si="10"/>
        <v>-14.35374149659863</v>
      </c>
      <c r="M494" s="445">
        <f t="shared" si="11"/>
        <v>7.2607709750567011</v>
      </c>
    </row>
    <row r="495" spans="1:13" x14ac:dyDescent="0.3">
      <c r="A495" s="124" t="s">
        <v>181</v>
      </c>
      <c r="B495" s="207" t="s">
        <v>219</v>
      </c>
      <c r="C495" s="619" t="s">
        <v>1052</v>
      </c>
      <c r="D495" s="620" t="s">
        <v>1055</v>
      </c>
      <c r="E495" s="124">
        <v>42.870748299319722</v>
      </c>
      <c r="F495" s="124">
        <v>23.546485260770972</v>
      </c>
      <c r="G495" s="124">
        <v>59.571428571428569</v>
      </c>
      <c r="H495" s="124">
        <v>59.571428571428569</v>
      </c>
      <c r="I495" s="124">
        <v>16.700680272108848</v>
      </c>
      <c r="J495" s="124">
        <v>83.117913832199548</v>
      </c>
      <c r="K495" s="445">
        <f t="shared" si="9"/>
        <v>-40.428571428571431</v>
      </c>
      <c r="L495" s="445">
        <f t="shared" si="10"/>
        <v>-83.299319727891145</v>
      </c>
      <c r="M495" s="445">
        <f t="shared" si="11"/>
        <v>-16.882086167800452</v>
      </c>
    </row>
    <row r="496" spans="1:13" x14ac:dyDescent="0.3">
      <c r="A496" s="124" t="s">
        <v>181</v>
      </c>
      <c r="B496" s="207" t="s">
        <v>219</v>
      </c>
      <c r="C496" s="619" t="s">
        <v>1056</v>
      </c>
      <c r="D496" s="620" t="s">
        <v>1055</v>
      </c>
      <c r="E496" s="124">
        <v>29.396825396825395</v>
      </c>
      <c r="F496" s="124">
        <v>20.702947845804989</v>
      </c>
      <c r="G496" s="124">
        <v>77.142857142857139</v>
      </c>
      <c r="H496" s="124">
        <v>77.142857142857139</v>
      </c>
      <c r="I496" s="124">
        <v>47.746031746031747</v>
      </c>
      <c r="J496" s="124">
        <v>97.845804988662124</v>
      </c>
      <c r="K496" s="445">
        <f t="shared" si="9"/>
        <v>-22.857142857142861</v>
      </c>
      <c r="L496" s="445">
        <f t="shared" si="10"/>
        <v>-52.253968253968253</v>
      </c>
      <c r="M496" s="445">
        <f t="shared" si="11"/>
        <v>-2.1541950113378761</v>
      </c>
    </row>
    <row r="497" spans="1:13" ht="15" thickBot="1" x14ac:dyDescent="0.35">
      <c r="A497" s="124" t="s">
        <v>181</v>
      </c>
      <c r="B497" s="629" t="s">
        <v>219</v>
      </c>
      <c r="C497" s="626" t="s">
        <v>1057</v>
      </c>
      <c r="D497" s="627" t="s">
        <v>1055</v>
      </c>
      <c r="E497" s="577">
        <v>23.841269841269842</v>
      </c>
      <c r="F497" s="577">
        <v>27.746031746031747</v>
      </c>
      <c r="G497" s="577">
        <v>89</v>
      </c>
      <c r="H497" s="577">
        <v>89</v>
      </c>
      <c r="I497" s="577">
        <v>65.158730158730151</v>
      </c>
      <c r="J497" s="577">
        <v>116.74603174603175</v>
      </c>
      <c r="K497" s="445">
        <f t="shared" si="9"/>
        <v>-11</v>
      </c>
      <c r="L497" s="445">
        <f t="shared" si="10"/>
        <v>-34.841269841269849</v>
      </c>
      <c r="M497" s="445">
        <f t="shared" si="11"/>
        <v>16.746031746031747</v>
      </c>
    </row>
    <row r="498" spans="1:13" x14ac:dyDescent="0.3">
      <c r="A498" s="124" t="s">
        <v>181</v>
      </c>
      <c r="B498" s="124" t="s">
        <v>222</v>
      </c>
      <c r="C498" s="124" t="s">
        <v>1052</v>
      </c>
      <c r="D498" s="124" t="s">
        <v>1053</v>
      </c>
      <c r="E498" s="124">
        <v>21.292517006802719</v>
      </c>
      <c r="F498" s="124">
        <v>22.308390022675734</v>
      </c>
      <c r="G498" s="124">
        <v>45.714285714285715</v>
      </c>
      <c r="H498" s="124">
        <v>45.714285714285715</v>
      </c>
      <c r="I498" s="124">
        <v>24.421768707482997</v>
      </c>
      <c r="J498" s="124">
        <v>68.022675736961446</v>
      </c>
      <c r="K498" s="445">
        <f t="shared" si="9"/>
        <v>-54.285714285714285</v>
      </c>
      <c r="L498" s="445">
        <f t="shared" si="10"/>
        <v>-75.578231292517003</v>
      </c>
      <c r="M498" s="445">
        <f t="shared" si="11"/>
        <v>-31.977324263038554</v>
      </c>
    </row>
    <row r="499" spans="1:13" x14ac:dyDescent="0.3">
      <c r="A499" s="124" t="s">
        <v>181</v>
      </c>
      <c r="B499" s="124" t="s">
        <v>222</v>
      </c>
      <c r="C499" s="146" t="s">
        <v>1056</v>
      </c>
      <c r="D499" s="146" t="s">
        <v>1053</v>
      </c>
      <c r="E499" s="124">
        <v>17.607709750566894</v>
      </c>
      <c r="F499" s="124">
        <v>18.730158730158728</v>
      </c>
      <c r="G499" s="124">
        <v>68.571428571428569</v>
      </c>
      <c r="H499" s="124">
        <v>68.571428571428569</v>
      </c>
      <c r="I499" s="124">
        <v>50.963718820861672</v>
      </c>
      <c r="J499" s="124">
        <v>87.30158730158729</v>
      </c>
      <c r="K499" s="445">
        <f t="shared" si="9"/>
        <v>-31.428571428571431</v>
      </c>
      <c r="L499" s="445">
        <f t="shared" si="10"/>
        <v>-49.036281179138328</v>
      </c>
      <c r="M499" s="445">
        <f t="shared" si="11"/>
        <v>-12.69841269841271</v>
      </c>
    </row>
    <row r="500" spans="1:13" x14ac:dyDescent="0.3">
      <c r="A500" s="124" t="s">
        <v>181</v>
      </c>
      <c r="B500" s="146" t="s">
        <v>222</v>
      </c>
      <c r="C500" s="146" t="s">
        <v>1057</v>
      </c>
      <c r="D500" s="146" t="s">
        <v>1053</v>
      </c>
      <c r="E500" s="124">
        <v>0</v>
      </c>
      <c r="F500" s="124">
        <v>0</v>
      </c>
      <c r="G500" s="124">
        <v>100</v>
      </c>
      <c r="H500" s="124">
        <v>100</v>
      </c>
      <c r="I500" s="124">
        <v>100</v>
      </c>
      <c r="J500" s="124">
        <v>100</v>
      </c>
      <c r="K500" s="445">
        <f t="shared" si="9"/>
        <v>0</v>
      </c>
      <c r="L500" s="445">
        <f t="shared" si="10"/>
        <v>0</v>
      </c>
      <c r="M500" s="445">
        <f t="shared" si="11"/>
        <v>0</v>
      </c>
    </row>
    <row r="501" spans="1:13" x14ac:dyDescent="0.3">
      <c r="A501" s="124" t="s">
        <v>181</v>
      </c>
      <c r="B501" s="146" t="s">
        <v>222</v>
      </c>
      <c r="C501" s="146" t="s">
        <v>1052</v>
      </c>
      <c r="D501" s="146" t="s">
        <v>1054</v>
      </c>
      <c r="E501" s="124">
        <v>26.308390022675731</v>
      </c>
      <c r="F501" s="124">
        <v>30.625850340136054</v>
      </c>
      <c r="G501" s="124">
        <v>44.428571428571431</v>
      </c>
      <c r="H501" s="124">
        <v>44.428571428571431</v>
      </c>
      <c r="I501" s="124">
        <v>18.1201814058957</v>
      </c>
      <c r="J501" s="124">
        <v>75.054421768707485</v>
      </c>
      <c r="K501" s="445">
        <f t="shared" si="9"/>
        <v>-55.571428571428569</v>
      </c>
      <c r="L501" s="445">
        <f t="shared" si="10"/>
        <v>-81.879818594104307</v>
      </c>
      <c r="M501" s="445">
        <f t="shared" si="11"/>
        <v>-24.945578231292515</v>
      </c>
    </row>
    <row r="502" spans="1:13" x14ac:dyDescent="0.3">
      <c r="A502" s="124" t="s">
        <v>181</v>
      </c>
      <c r="B502" s="146" t="s">
        <v>222</v>
      </c>
      <c r="C502" s="124" t="s">
        <v>1056</v>
      </c>
      <c r="D502" s="146" t="s">
        <v>1054</v>
      </c>
      <c r="E502" s="124">
        <v>22.229024943310655</v>
      </c>
      <c r="F502" s="124">
        <v>25.424036281179138</v>
      </c>
      <c r="G502" s="124">
        <v>65.428571428571431</v>
      </c>
      <c r="H502" s="124">
        <v>65.428571428571431</v>
      </c>
      <c r="I502" s="124">
        <v>43.199546485260775</v>
      </c>
      <c r="J502" s="124">
        <v>90.852607709750572</v>
      </c>
      <c r="K502" s="445">
        <f t="shared" si="9"/>
        <v>-34.571428571428569</v>
      </c>
      <c r="L502" s="445">
        <f t="shared" si="10"/>
        <v>-56.800453514739225</v>
      </c>
      <c r="M502" s="445">
        <f t="shared" si="11"/>
        <v>-9.147392290249428</v>
      </c>
    </row>
    <row r="503" spans="1:13" x14ac:dyDescent="0.3">
      <c r="A503" s="124" t="s">
        <v>181</v>
      </c>
      <c r="B503" s="146" t="s">
        <v>222</v>
      </c>
      <c r="C503" s="124" t="s">
        <v>1057</v>
      </c>
      <c r="D503" s="146" t="s">
        <v>1054</v>
      </c>
      <c r="E503" s="124">
        <v>12.297052154195011</v>
      </c>
      <c r="F503" s="124">
        <v>2.8390022675736963</v>
      </c>
      <c r="G503" s="124">
        <v>97.285714285714292</v>
      </c>
      <c r="H503" s="124">
        <v>97.285714285714292</v>
      </c>
      <c r="I503" s="124">
        <v>84.988662131519277</v>
      </c>
      <c r="J503" s="124">
        <v>100.12471655328798</v>
      </c>
      <c r="K503" s="445">
        <f t="shared" si="9"/>
        <v>-2.7142857142857082</v>
      </c>
      <c r="L503" s="445">
        <f t="shared" si="10"/>
        <v>-15.011337868480723</v>
      </c>
      <c r="M503" s="445">
        <f t="shared" si="11"/>
        <v>0.12471655328798192</v>
      </c>
    </row>
    <row r="504" spans="1:13" x14ac:dyDescent="0.3">
      <c r="A504" s="124" t="s">
        <v>181</v>
      </c>
      <c r="B504" s="146" t="s">
        <v>222</v>
      </c>
      <c r="C504" s="124" t="s">
        <v>1052</v>
      </c>
      <c r="D504" s="146" t="s">
        <v>1055</v>
      </c>
      <c r="E504" s="124">
        <v>33.346938775510203</v>
      </c>
      <c r="F504" s="124">
        <v>32.662131519274375</v>
      </c>
      <c r="G504" s="124">
        <v>49.428571428571431</v>
      </c>
      <c r="H504" s="124">
        <v>49.428571428571431</v>
      </c>
      <c r="I504" s="124">
        <v>16.081632653061227</v>
      </c>
      <c r="J504" s="124">
        <v>82.090702947845813</v>
      </c>
      <c r="K504" s="445">
        <f t="shared" si="9"/>
        <v>-50.571428571428569</v>
      </c>
      <c r="L504" s="445">
        <f t="shared" si="10"/>
        <v>-83.918367346938766</v>
      </c>
      <c r="M504" s="445">
        <f t="shared" si="11"/>
        <v>-17.909297052154187</v>
      </c>
    </row>
    <row r="505" spans="1:13" x14ac:dyDescent="0.3">
      <c r="A505" s="124" t="s">
        <v>181</v>
      </c>
      <c r="B505" s="146" t="s">
        <v>222</v>
      </c>
      <c r="C505" s="124" t="s">
        <v>1056</v>
      </c>
      <c r="D505" s="146" t="s">
        <v>1055</v>
      </c>
      <c r="E505" s="124">
        <v>20.054421768707478</v>
      </c>
      <c r="F505" s="124">
        <v>26.90702947845805</v>
      </c>
      <c r="G505" s="124">
        <v>66</v>
      </c>
      <c r="H505" s="124">
        <v>66</v>
      </c>
      <c r="I505" s="124">
        <v>45.945578231292522</v>
      </c>
      <c r="J505" s="124">
        <v>92.907029478458043</v>
      </c>
      <c r="K505" s="445">
        <f t="shared" si="9"/>
        <v>-34</v>
      </c>
      <c r="L505" s="445">
        <f t="shared" si="10"/>
        <v>-54.054421768707478</v>
      </c>
      <c r="M505" s="445">
        <f t="shared" si="11"/>
        <v>-7.0929705215419574</v>
      </c>
    </row>
    <row r="506" spans="1:13" ht="15" thickBot="1" x14ac:dyDescent="0.35">
      <c r="A506" s="124" t="s">
        <v>181</v>
      </c>
      <c r="B506" s="146" t="s">
        <v>222</v>
      </c>
      <c r="C506" s="146" t="s">
        <v>1057</v>
      </c>
      <c r="D506" s="146" t="s">
        <v>1055</v>
      </c>
      <c r="E506" s="146">
        <v>20.136054421768709</v>
      </c>
      <c r="F506" s="146">
        <v>9.9092970521541961</v>
      </c>
      <c r="G506" s="146">
        <v>85.714285714285708</v>
      </c>
      <c r="H506" s="146">
        <v>85.714285714285708</v>
      </c>
      <c r="I506" s="146">
        <v>65.578231292517003</v>
      </c>
      <c r="J506" s="146">
        <v>95.62358276643991</v>
      </c>
      <c r="K506" s="445">
        <f t="shared" si="9"/>
        <v>-14.285714285714292</v>
      </c>
      <c r="L506" s="445">
        <f t="shared" si="10"/>
        <v>-34.421768707482997</v>
      </c>
      <c r="M506" s="445">
        <f t="shared" si="11"/>
        <v>-4.3764172335600904</v>
      </c>
    </row>
    <row r="507" spans="1:13" x14ac:dyDescent="0.3">
      <c r="A507" s="124" t="s">
        <v>181</v>
      </c>
      <c r="B507" s="292" t="s">
        <v>226</v>
      </c>
      <c r="C507" s="622" t="s">
        <v>1052</v>
      </c>
      <c r="D507" s="623" t="s">
        <v>1053</v>
      </c>
      <c r="E507" s="293">
        <v>34.982142857142861</v>
      </c>
      <c r="F507" s="293">
        <v>18.815476190476186</v>
      </c>
      <c r="G507" s="293">
        <v>58.125</v>
      </c>
      <c r="H507" s="293">
        <v>58.125</v>
      </c>
      <c r="I507" s="293">
        <v>23.142857142857139</v>
      </c>
      <c r="J507" s="293">
        <v>76.94047619047619</v>
      </c>
      <c r="K507" s="445">
        <f t="shared" si="9"/>
        <v>-41.875</v>
      </c>
      <c r="L507" s="445">
        <f t="shared" si="10"/>
        <v>-76.857142857142861</v>
      </c>
      <c r="M507" s="445">
        <f t="shared" si="11"/>
        <v>-23.05952380952381</v>
      </c>
    </row>
    <row r="508" spans="1:13" x14ac:dyDescent="0.3">
      <c r="A508" s="124" t="s">
        <v>181</v>
      </c>
      <c r="B508" s="207" t="s">
        <v>226</v>
      </c>
      <c r="C508" s="619" t="s">
        <v>1056</v>
      </c>
      <c r="D508" s="620" t="s">
        <v>1053</v>
      </c>
      <c r="E508" s="124">
        <v>24</v>
      </c>
      <c r="F508" s="124">
        <v>14.638888888888889</v>
      </c>
      <c r="G508" s="124">
        <v>79.375</v>
      </c>
      <c r="H508" s="124">
        <v>79.375</v>
      </c>
      <c r="I508" s="124">
        <v>55.375</v>
      </c>
      <c r="J508" s="124">
        <v>94.013888888888886</v>
      </c>
      <c r="K508" s="445">
        <f t="shared" si="9"/>
        <v>-20.625</v>
      </c>
      <c r="L508" s="445">
        <f t="shared" si="10"/>
        <v>-44.625</v>
      </c>
      <c r="M508" s="445">
        <f t="shared" si="11"/>
        <v>-5.9861111111111143</v>
      </c>
    </row>
    <row r="509" spans="1:13" x14ac:dyDescent="0.3">
      <c r="A509" s="124" t="s">
        <v>181</v>
      </c>
      <c r="B509" s="207" t="s">
        <v>226</v>
      </c>
      <c r="C509" s="619" t="s">
        <v>1057</v>
      </c>
      <c r="D509" s="620" t="s">
        <v>1053</v>
      </c>
      <c r="E509" s="124">
        <v>0</v>
      </c>
      <c r="F509" s="124">
        <v>0</v>
      </c>
      <c r="G509" s="124">
        <v>100</v>
      </c>
      <c r="H509" s="124">
        <v>100</v>
      </c>
      <c r="I509" s="124">
        <v>100</v>
      </c>
      <c r="J509" s="124">
        <v>100</v>
      </c>
      <c r="K509" s="445">
        <f t="shared" si="9"/>
        <v>0</v>
      </c>
      <c r="L509" s="445">
        <f t="shared" si="10"/>
        <v>0</v>
      </c>
      <c r="M509" s="445">
        <f t="shared" si="11"/>
        <v>0</v>
      </c>
    </row>
    <row r="510" spans="1:13" x14ac:dyDescent="0.3">
      <c r="A510" s="124" t="s">
        <v>181</v>
      </c>
      <c r="B510" s="207" t="s">
        <v>226</v>
      </c>
      <c r="C510" s="619" t="s">
        <v>1052</v>
      </c>
      <c r="D510" s="620" t="s">
        <v>1054</v>
      </c>
      <c r="E510" s="146">
        <v>34.007936507936506</v>
      </c>
      <c r="F510" s="146">
        <v>28.670634920634917</v>
      </c>
      <c r="G510" s="146">
        <v>46.875</v>
      </c>
      <c r="H510" s="146">
        <v>46.875</v>
      </c>
      <c r="I510" s="146">
        <v>12.867063492063494</v>
      </c>
      <c r="J510" s="146">
        <v>75.54563492063491</v>
      </c>
      <c r="K510" s="445">
        <f t="shared" si="9"/>
        <v>-53.125</v>
      </c>
      <c r="L510" s="445">
        <f t="shared" si="10"/>
        <v>-87.132936507936506</v>
      </c>
      <c r="M510" s="445">
        <f t="shared" si="11"/>
        <v>-24.45436507936509</v>
      </c>
    </row>
    <row r="511" spans="1:13" x14ac:dyDescent="0.3">
      <c r="A511" s="124" t="s">
        <v>181</v>
      </c>
      <c r="B511" s="207" t="s">
        <v>226</v>
      </c>
      <c r="C511" s="619" t="s">
        <v>1056</v>
      </c>
      <c r="D511" s="620" t="s">
        <v>1054</v>
      </c>
      <c r="E511" s="124">
        <v>38.277777777777779</v>
      </c>
      <c r="F511" s="124">
        <v>18.388888888888886</v>
      </c>
      <c r="G511" s="124">
        <v>76.5</v>
      </c>
      <c r="H511" s="124">
        <v>76.5</v>
      </c>
      <c r="I511" s="124">
        <v>38.222222222222221</v>
      </c>
      <c r="J511" s="124">
        <v>94.888888888888886</v>
      </c>
      <c r="K511" s="445">
        <f t="shared" ref="K511:K574" si="12">0-(100-H511)</f>
        <v>-23.5</v>
      </c>
      <c r="L511" s="445">
        <f t="shared" ref="L511:L574" si="13">0-(100-I511)</f>
        <v>-61.777777777777779</v>
      </c>
      <c r="M511" s="445">
        <f t="shared" ref="M511:M574" si="14">0-(100-J511)</f>
        <v>-5.1111111111111143</v>
      </c>
    </row>
    <row r="512" spans="1:13" x14ac:dyDescent="0.3">
      <c r="A512" s="124" t="s">
        <v>181</v>
      </c>
      <c r="B512" s="207" t="s">
        <v>226</v>
      </c>
      <c r="C512" s="619" t="s">
        <v>1057</v>
      </c>
      <c r="D512" s="620" t="s">
        <v>1054</v>
      </c>
      <c r="E512" s="124">
        <v>21.013888888888889</v>
      </c>
      <c r="F512" s="124">
        <v>6.7638888888888875</v>
      </c>
      <c r="G512" s="124">
        <v>94.125</v>
      </c>
      <c r="H512" s="124">
        <v>94.125</v>
      </c>
      <c r="I512" s="124">
        <v>73.111111111111114</v>
      </c>
      <c r="J512" s="124">
        <v>100.88888888888889</v>
      </c>
      <c r="K512" s="445">
        <f t="shared" si="12"/>
        <v>-5.875</v>
      </c>
      <c r="L512" s="445">
        <f t="shared" si="13"/>
        <v>-26.888888888888886</v>
      </c>
      <c r="M512" s="445">
        <f t="shared" si="14"/>
        <v>0.88888888888888573</v>
      </c>
    </row>
    <row r="513" spans="1:13" x14ac:dyDescent="0.3">
      <c r="A513" s="124" t="s">
        <v>181</v>
      </c>
      <c r="B513" s="207" t="s">
        <v>226</v>
      </c>
      <c r="C513" s="619" t="s">
        <v>1052</v>
      </c>
      <c r="D513" s="620" t="s">
        <v>1055</v>
      </c>
      <c r="E513" s="124">
        <v>31.051587301587301</v>
      </c>
      <c r="F513" s="124">
        <v>38.710317460317455</v>
      </c>
      <c r="G513" s="124">
        <v>38.75</v>
      </c>
      <c r="H513" s="124">
        <v>38.75</v>
      </c>
      <c r="I513" s="124">
        <v>7.6984126984126995</v>
      </c>
      <c r="J513" s="124">
        <v>77.460317460317455</v>
      </c>
      <c r="K513" s="445">
        <f t="shared" si="12"/>
        <v>-61.25</v>
      </c>
      <c r="L513" s="445">
        <f t="shared" si="13"/>
        <v>-92.301587301587304</v>
      </c>
      <c r="M513" s="445">
        <f t="shared" si="14"/>
        <v>-22.539682539682545</v>
      </c>
    </row>
    <row r="514" spans="1:13" x14ac:dyDescent="0.3">
      <c r="A514" s="124" t="s">
        <v>181</v>
      </c>
      <c r="B514" s="207" t="s">
        <v>226</v>
      </c>
      <c r="C514" s="619" t="s">
        <v>1056</v>
      </c>
      <c r="D514" s="620" t="s">
        <v>1055</v>
      </c>
      <c r="E514" s="124">
        <v>34.513888888888886</v>
      </c>
      <c r="F514" s="124">
        <v>25.277777777777775</v>
      </c>
      <c r="G514" s="124">
        <v>58.125</v>
      </c>
      <c r="H514" s="124">
        <v>58.125</v>
      </c>
      <c r="I514" s="124">
        <v>23.611111111111114</v>
      </c>
      <c r="J514" s="124">
        <v>83.402777777777771</v>
      </c>
      <c r="K514" s="445">
        <f t="shared" si="12"/>
        <v>-41.875</v>
      </c>
      <c r="L514" s="445">
        <f t="shared" si="13"/>
        <v>-76.388888888888886</v>
      </c>
      <c r="M514" s="445">
        <f t="shared" si="14"/>
        <v>-16.597222222222229</v>
      </c>
    </row>
    <row r="515" spans="1:13" ht="15" thickBot="1" x14ac:dyDescent="0.35">
      <c r="A515" s="124" t="s">
        <v>181</v>
      </c>
      <c r="B515" s="629" t="s">
        <v>226</v>
      </c>
      <c r="C515" s="626" t="s">
        <v>1057</v>
      </c>
      <c r="D515" s="627" t="s">
        <v>1055</v>
      </c>
      <c r="E515" s="577">
        <v>26.597222222222218</v>
      </c>
      <c r="F515" s="577">
        <v>15.625</v>
      </c>
      <c r="G515" s="577">
        <v>71.875</v>
      </c>
      <c r="H515" s="577">
        <v>71.875</v>
      </c>
      <c r="I515" s="577">
        <v>45.277777777777786</v>
      </c>
      <c r="J515" s="577">
        <v>87.5</v>
      </c>
      <c r="K515" s="445">
        <f t="shared" si="12"/>
        <v>-28.125</v>
      </c>
      <c r="L515" s="445">
        <f t="shared" si="13"/>
        <v>-54.722222222222214</v>
      </c>
      <c r="M515" s="445">
        <f t="shared" si="14"/>
        <v>-12.5</v>
      </c>
    </row>
    <row r="516" spans="1:13" x14ac:dyDescent="0.3">
      <c r="A516" s="124" t="s">
        <v>181</v>
      </c>
      <c r="B516" s="630" t="s">
        <v>229</v>
      </c>
      <c r="C516" s="124" t="s">
        <v>1052</v>
      </c>
      <c r="D516" s="620" t="s">
        <v>1053</v>
      </c>
      <c r="E516" s="124">
        <v>27.321428571428569</v>
      </c>
      <c r="F516" s="124">
        <v>29.24603174603174</v>
      </c>
      <c r="G516" s="124">
        <v>47.5</v>
      </c>
      <c r="H516" s="124">
        <v>47.5</v>
      </c>
      <c r="I516" s="124">
        <v>20.178571428571431</v>
      </c>
      <c r="J516" s="124">
        <v>76.746031746031747</v>
      </c>
      <c r="K516" s="445">
        <f t="shared" si="12"/>
        <v>-52.5</v>
      </c>
      <c r="L516" s="445">
        <f t="shared" si="13"/>
        <v>-79.821428571428569</v>
      </c>
      <c r="M516" s="445">
        <f t="shared" si="14"/>
        <v>-23.253968253968253</v>
      </c>
    </row>
    <row r="517" spans="1:13" x14ac:dyDescent="0.3">
      <c r="A517" s="124" t="s">
        <v>181</v>
      </c>
      <c r="B517" s="631" t="s">
        <v>229</v>
      </c>
      <c r="C517" s="146" t="s">
        <v>1056</v>
      </c>
      <c r="D517" s="620" t="s">
        <v>1053</v>
      </c>
      <c r="E517" s="124">
        <v>25.873015873015873</v>
      </c>
      <c r="F517" s="124">
        <v>13.551587301587301</v>
      </c>
      <c r="G517" s="124">
        <v>73.75</v>
      </c>
      <c r="H517" s="124">
        <v>73.75</v>
      </c>
      <c r="I517" s="124">
        <v>47.876984126984127</v>
      </c>
      <c r="J517" s="124">
        <v>87.301587301587304</v>
      </c>
      <c r="K517" s="445">
        <f t="shared" si="12"/>
        <v>-26.25</v>
      </c>
      <c r="L517" s="445">
        <f t="shared" si="13"/>
        <v>-52.123015873015873</v>
      </c>
      <c r="M517" s="445">
        <f t="shared" si="14"/>
        <v>-12.698412698412696</v>
      </c>
    </row>
    <row r="518" spans="1:13" x14ac:dyDescent="0.3">
      <c r="A518" s="124" t="s">
        <v>181</v>
      </c>
      <c r="B518" s="631" t="s">
        <v>229</v>
      </c>
      <c r="C518" s="146" t="s">
        <v>1057</v>
      </c>
      <c r="D518" s="620" t="s">
        <v>1053</v>
      </c>
      <c r="E518" s="124">
        <v>0</v>
      </c>
      <c r="F518" s="124">
        <v>0</v>
      </c>
      <c r="G518" s="124">
        <v>100</v>
      </c>
      <c r="H518" s="124">
        <v>100</v>
      </c>
      <c r="I518" s="124">
        <v>100</v>
      </c>
      <c r="J518" s="124">
        <v>100</v>
      </c>
      <c r="K518" s="445">
        <f t="shared" si="12"/>
        <v>0</v>
      </c>
      <c r="L518" s="445">
        <f t="shared" si="13"/>
        <v>0</v>
      </c>
      <c r="M518" s="445">
        <f t="shared" si="14"/>
        <v>0</v>
      </c>
    </row>
    <row r="519" spans="1:13" x14ac:dyDescent="0.3">
      <c r="A519" s="124" t="s">
        <v>181</v>
      </c>
      <c r="B519" s="631" t="s">
        <v>229</v>
      </c>
      <c r="C519" s="124" t="s">
        <v>1052</v>
      </c>
      <c r="D519" s="620" t="s">
        <v>1054</v>
      </c>
      <c r="E519" s="124">
        <v>35.275793650793645</v>
      </c>
      <c r="F519" s="124">
        <v>34.113095238095234</v>
      </c>
      <c r="G519" s="124">
        <v>54.375</v>
      </c>
      <c r="H519" s="124">
        <v>54.375</v>
      </c>
      <c r="I519" s="124">
        <v>19.099206349206355</v>
      </c>
      <c r="J519" s="124">
        <v>88.488095238095241</v>
      </c>
      <c r="K519" s="445">
        <f t="shared" si="12"/>
        <v>-45.625</v>
      </c>
      <c r="L519" s="445">
        <f t="shared" si="13"/>
        <v>-80.900793650793645</v>
      </c>
      <c r="M519" s="445">
        <f t="shared" si="14"/>
        <v>-11.511904761904759</v>
      </c>
    </row>
    <row r="520" spans="1:13" x14ac:dyDescent="0.3">
      <c r="A520" s="124" t="s">
        <v>181</v>
      </c>
      <c r="B520" s="631" t="s">
        <v>229</v>
      </c>
      <c r="C520" s="124" t="s">
        <v>1056</v>
      </c>
      <c r="D520" s="620" t="s">
        <v>1054</v>
      </c>
      <c r="E520" s="124">
        <v>35.998015873015873</v>
      </c>
      <c r="F520" s="124">
        <v>22.960317460317459</v>
      </c>
      <c r="G520" s="124">
        <v>75.875</v>
      </c>
      <c r="H520" s="124">
        <v>75.875</v>
      </c>
      <c r="I520" s="124">
        <v>39.876984126984127</v>
      </c>
      <c r="J520" s="124">
        <v>98.835317460317455</v>
      </c>
      <c r="K520" s="445">
        <f t="shared" si="12"/>
        <v>-24.125</v>
      </c>
      <c r="L520" s="445">
        <f t="shared" si="13"/>
        <v>-60.123015873015873</v>
      </c>
      <c r="M520" s="445">
        <f t="shared" si="14"/>
        <v>-1.1646825396825449</v>
      </c>
    </row>
    <row r="521" spans="1:13" x14ac:dyDescent="0.3">
      <c r="A521" s="124" t="s">
        <v>181</v>
      </c>
      <c r="B521" s="631" t="s">
        <v>229</v>
      </c>
      <c r="C521" s="124" t="s">
        <v>1057</v>
      </c>
      <c r="D521" s="620" t="s">
        <v>1054</v>
      </c>
      <c r="E521" s="124">
        <v>31.533730158730158</v>
      </c>
      <c r="F521" s="124">
        <v>18.922619047619047</v>
      </c>
      <c r="G521" s="124">
        <v>99.625</v>
      </c>
      <c r="H521" s="124">
        <v>99.625</v>
      </c>
      <c r="I521" s="124">
        <v>68.091269841269849</v>
      </c>
      <c r="J521" s="124">
        <v>118.54761904761905</v>
      </c>
      <c r="K521" s="445">
        <f t="shared" si="12"/>
        <v>-0.375</v>
      </c>
      <c r="L521" s="445">
        <f t="shared" si="13"/>
        <v>-31.908730158730151</v>
      </c>
      <c r="M521" s="445">
        <f t="shared" si="14"/>
        <v>18.547619047619051</v>
      </c>
    </row>
    <row r="522" spans="1:13" s="437" customFormat="1" x14ac:dyDescent="0.3">
      <c r="A522" s="124" t="s">
        <v>181</v>
      </c>
      <c r="B522" s="631" t="s">
        <v>229</v>
      </c>
      <c r="C522" s="124" t="s">
        <v>1052</v>
      </c>
      <c r="D522" s="620" t="s">
        <v>1055</v>
      </c>
      <c r="E522" s="124">
        <v>43.456349206349202</v>
      </c>
      <c r="F522" s="124">
        <v>36.648809523809518</v>
      </c>
      <c r="G522" s="124">
        <v>64.875</v>
      </c>
      <c r="H522" s="124">
        <v>64.875</v>
      </c>
      <c r="I522" s="124">
        <v>21.418650793650798</v>
      </c>
      <c r="J522" s="124">
        <v>101.52380952380952</v>
      </c>
      <c r="K522" s="445">
        <f t="shared" si="12"/>
        <v>-35.125</v>
      </c>
      <c r="L522" s="445">
        <f t="shared" si="13"/>
        <v>-78.581349206349202</v>
      </c>
      <c r="M522" s="445">
        <f t="shared" si="14"/>
        <v>1.5238095238095184</v>
      </c>
    </row>
    <row r="523" spans="1:13" s="437" customFormat="1" x14ac:dyDescent="0.3">
      <c r="A523" s="124" t="s">
        <v>181</v>
      </c>
      <c r="B523" s="631" t="s">
        <v>229</v>
      </c>
      <c r="C523" s="146" t="s">
        <v>1056</v>
      </c>
      <c r="D523" s="620" t="s">
        <v>1055</v>
      </c>
      <c r="E523" s="146">
        <v>38.79960317460317</v>
      </c>
      <c r="F523" s="124">
        <v>30.561507936507937</v>
      </c>
      <c r="G523" s="124">
        <v>86.875</v>
      </c>
      <c r="H523" s="124">
        <v>86.875</v>
      </c>
      <c r="I523" s="124">
        <v>48.07539682539683</v>
      </c>
      <c r="J523" s="124">
        <v>117.43650793650794</v>
      </c>
      <c r="K523" s="445">
        <f t="shared" si="12"/>
        <v>-13.125</v>
      </c>
      <c r="L523" s="445">
        <f t="shared" si="13"/>
        <v>-51.92460317460317</v>
      </c>
      <c r="M523" s="445">
        <f t="shared" si="14"/>
        <v>17.436507936507937</v>
      </c>
    </row>
    <row r="524" spans="1:13" s="437" customFormat="1" ht="15" thickBot="1" x14ac:dyDescent="0.35">
      <c r="A524" s="124" t="s">
        <v>181</v>
      </c>
      <c r="B524" s="631" t="s">
        <v>229</v>
      </c>
      <c r="C524" s="146" t="s">
        <v>1057</v>
      </c>
      <c r="D524" s="620" t="s">
        <v>1055</v>
      </c>
      <c r="E524" s="146">
        <v>37.777777777777771</v>
      </c>
      <c r="F524" s="146">
        <v>35.347222222222221</v>
      </c>
      <c r="G524" s="146">
        <v>99.375</v>
      </c>
      <c r="H524" s="146">
        <v>99.375</v>
      </c>
      <c r="I524" s="146">
        <v>61.597222222222229</v>
      </c>
      <c r="J524" s="146">
        <v>134.72222222222223</v>
      </c>
      <c r="K524" s="445">
        <f t="shared" si="12"/>
        <v>-0.625</v>
      </c>
      <c r="L524" s="445">
        <f t="shared" si="13"/>
        <v>-38.402777777777771</v>
      </c>
      <c r="M524" s="445">
        <f t="shared" si="14"/>
        <v>34.722222222222229</v>
      </c>
    </row>
    <row r="525" spans="1:13" s="437" customFormat="1" x14ac:dyDescent="0.3">
      <c r="A525" s="124" t="s">
        <v>181</v>
      </c>
      <c r="B525" s="630" t="s">
        <v>231</v>
      </c>
      <c r="C525" s="293" t="s">
        <v>1052</v>
      </c>
      <c r="D525" s="293" t="s">
        <v>1053</v>
      </c>
      <c r="E525" s="293">
        <v>20.657596371882086</v>
      </c>
      <c r="F525" s="293">
        <v>25.544217687074827</v>
      </c>
      <c r="G525" s="293">
        <v>45.714285714285715</v>
      </c>
      <c r="H525" s="293">
        <v>45.714285714285715</v>
      </c>
      <c r="I525" s="293">
        <v>25.056689342403629</v>
      </c>
      <c r="J525" s="293">
        <v>71.258503401360542</v>
      </c>
      <c r="K525" s="445">
        <f t="shared" si="12"/>
        <v>-54.285714285714285</v>
      </c>
      <c r="L525" s="445">
        <f t="shared" si="13"/>
        <v>-74.943310657596371</v>
      </c>
      <c r="M525" s="445">
        <f t="shared" si="14"/>
        <v>-28.741496598639458</v>
      </c>
    </row>
    <row r="526" spans="1:13" s="437" customFormat="1" x14ac:dyDescent="0.3">
      <c r="A526" s="124" t="s">
        <v>181</v>
      </c>
      <c r="B526" s="631" t="s">
        <v>231</v>
      </c>
      <c r="C526" s="146" t="s">
        <v>1056</v>
      </c>
      <c r="D526" s="146" t="s">
        <v>1053</v>
      </c>
      <c r="E526" s="124">
        <v>17.301587301587301</v>
      </c>
      <c r="F526" s="124">
        <v>17.301587301587297</v>
      </c>
      <c r="G526" s="124">
        <v>69.285714285714292</v>
      </c>
      <c r="H526" s="124">
        <v>69.285714285714292</v>
      </c>
      <c r="I526" s="124">
        <v>51.984126984126988</v>
      </c>
      <c r="J526" s="124">
        <v>86.587301587301596</v>
      </c>
      <c r="K526" s="445">
        <f t="shared" si="12"/>
        <v>-30.714285714285708</v>
      </c>
      <c r="L526" s="445">
        <f t="shared" si="13"/>
        <v>-48.015873015873012</v>
      </c>
      <c r="M526" s="445">
        <f t="shared" si="14"/>
        <v>-13.412698412698404</v>
      </c>
    </row>
    <row r="527" spans="1:13" s="437" customFormat="1" x14ac:dyDescent="0.3">
      <c r="A527" s="124" t="s">
        <v>181</v>
      </c>
      <c r="B527" s="631" t="s">
        <v>231</v>
      </c>
      <c r="C527" s="146" t="s">
        <v>1057</v>
      </c>
      <c r="D527" s="146" t="s">
        <v>1053</v>
      </c>
      <c r="E527" s="124">
        <v>0</v>
      </c>
      <c r="F527" s="124">
        <v>0</v>
      </c>
      <c r="G527" s="124">
        <v>100</v>
      </c>
      <c r="H527" s="124">
        <v>100</v>
      </c>
      <c r="I527" s="124">
        <v>100</v>
      </c>
      <c r="J527" s="124">
        <v>100</v>
      </c>
      <c r="K527" s="445">
        <f t="shared" si="12"/>
        <v>0</v>
      </c>
      <c r="L527" s="445">
        <f t="shared" si="13"/>
        <v>0</v>
      </c>
      <c r="M527" s="445">
        <f t="shared" si="14"/>
        <v>0</v>
      </c>
    </row>
    <row r="528" spans="1:13" s="437" customFormat="1" x14ac:dyDescent="0.3">
      <c r="A528" s="124" t="s">
        <v>181</v>
      </c>
      <c r="B528" s="631" t="s">
        <v>231</v>
      </c>
      <c r="C528" s="146" t="s">
        <v>1052</v>
      </c>
      <c r="D528" s="146" t="s">
        <v>1054</v>
      </c>
      <c r="E528" s="146">
        <v>23.91383219954648</v>
      </c>
      <c r="F528" s="146">
        <v>33.823129251700678</v>
      </c>
      <c r="G528" s="146">
        <v>41.571428571428569</v>
      </c>
      <c r="H528" s="146">
        <v>41.571428571428569</v>
      </c>
      <c r="I528" s="146">
        <v>17.657596371882089</v>
      </c>
      <c r="J528" s="146">
        <v>75.394557823129247</v>
      </c>
      <c r="K528" s="445">
        <f t="shared" si="12"/>
        <v>-58.428571428571431</v>
      </c>
      <c r="L528" s="445">
        <f t="shared" si="13"/>
        <v>-82.342403628117907</v>
      </c>
      <c r="M528" s="445">
        <f t="shared" si="14"/>
        <v>-24.605442176870753</v>
      </c>
    </row>
    <row r="529" spans="1:13" s="437" customFormat="1" x14ac:dyDescent="0.3">
      <c r="A529" s="124" t="s">
        <v>181</v>
      </c>
      <c r="B529" s="631" t="s">
        <v>231</v>
      </c>
      <c r="C529" s="146" t="s">
        <v>1056</v>
      </c>
      <c r="D529" s="146" t="s">
        <v>1054</v>
      </c>
      <c r="E529" s="146">
        <v>20.47392290249433</v>
      </c>
      <c r="F529" s="146">
        <v>27.240362811791385</v>
      </c>
      <c r="G529" s="146">
        <v>64.714285714285708</v>
      </c>
      <c r="H529" s="146">
        <v>64.714285714285708</v>
      </c>
      <c r="I529" s="146">
        <v>44.240362811791378</v>
      </c>
      <c r="J529" s="146">
        <v>91.954648526077094</v>
      </c>
      <c r="K529" s="445">
        <f t="shared" si="12"/>
        <v>-35.285714285714292</v>
      </c>
      <c r="L529" s="445">
        <f t="shared" si="13"/>
        <v>-55.759637188208622</v>
      </c>
      <c r="M529" s="445">
        <f t="shared" si="14"/>
        <v>-8.0453514739229064</v>
      </c>
    </row>
    <row r="530" spans="1:13" s="437" customFormat="1" x14ac:dyDescent="0.3">
      <c r="A530" s="124" t="s">
        <v>181</v>
      </c>
      <c r="B530" s="631" t="s">
        <v>231</v>
      </c>
      <c r="C530" s="124" t="s">
        <v>1057</v>
      </c>
      <c r="D530" s="146" t="s">
        <v>1054</v>
      </c>
      <c r="E530" s="124">
        <v>14.460317460317459</v>
      </c>
      <c r="F530" s="124">
        <v>2.308390022675737</v>
      </c>
      <c r="G530" s="124">
        <v>97</v>
      </c>
      <c r="H530" s="124">
        <v>97</v>
      </c>
      <c r="I530" s="124">
        <v>82.539682539682545</v>
      </c>
      <c r="J530" s="124">
        <v>99.308390022675738</v>
      </c>
      <c r="K530" s="445">
        <f t="shared" si="12"/>
        <v>-3</v>
      </c>
      <c r="L530" s="445">
        <f t="shared" si="13"/>
        <v>-17.460317460317455</v>
      </c>
      <c r="M530" s="445">
        <f t="shared" si="14"/>
        <v>-0.6916099773242621</v>
      </c>
    </row>
    <row r="531" spans="1:13" s="437" customFormat="1" x14ac:dyDescent="0.3">
      <c r="A531" s="124" t="s">
        <v>181</v>
      </c>
      <c r="B531" s="631" t="s">
        <v>231</v>
      </c>
      <c r="C531" s="124" t="s">
        <v>1052</v>
      </c>
      <c r="D531" s="146" t="s">
        <v>1055</v>
      </c>
      <c r="E531" s="124">
        <v>29.165532879818592</v>
      </c>
      <c r="F531" s="124">
        <v>34.979591836734691</v>
      </c>
      <c r="G531" s="124">
        <v>42.285714285714285</v>
      </c>
      <c r="H531" s="124">
        <v>42.285714285714285</v>
      </c>
      <c r="I531" s="124">
        <v>13.120181405895693</v>
      </c>
      <c r="J531" s="124">
        <v>77.265306122448976</v>
      </c>
      <c r="K531" s="445">
        <f t="shared" si="12"/>
        <v>-57.714285714285715</v>
      </c>
      <c r="L531" s="445">
        <f t="shared" si="13"/>
        <v>-86.879818594104307</v>
      </c>
      <c r="M531" s="445">
        <f t="shared" si="14"/>
        <v>-22.734693877551024</v>
      </c>
    </row>
    <row r="532" spans="1:13" s="437" customFormat="1" x14ac:dyDescent="0.3">
      <c r="A532" s="124" t="s">
        <v>181</v>
      </c>
      <c r="B532" s="631" t="s">
        <v>231</v>
      </c>
      <c r="C532" s="124" t="s">
        <v>1056</v>
      </c>
      <c r="D532" s="124" t="s">
        <v>1055</v>
      </c>
      <c r="E532" s="124">
        <v>19.530612244897956</v>
      </c>
      <c r="F532" s="124">
        <v>30.158730158730155</v>
      </c>
      <c r="G532" s="124">
        <v>63.142857142857146</v>
      </c>
      <c r="H532" s="124">
        <v>63.142857142857146</v>
      </c>
      <c r="I532" s="124">
        <v>43.612244897959187</v>
      </c>
      <c r="J532" s="124">
        <v>93.301587301587304</v>
      </c>
      <c r="K532" s="445">
        <f t="shared" si="12"/>
        <v>-36.857142857142854</v>
      </c>
      <c r="L532" s="445">
        <f t="shared" si="13"/>
        <v>-56.387755102040813</v>
      </c>
      <c r="M532" s="445">
        <f t="shared" si="14"/>
        <v>-6.6984126984126959</v>
      </c>
    </row>
    <row r="533" spans="1:13" s="437" customFormat="1" ht="15" thickBot="1" x14ac:dyDescent="0.35">
      <c r="A533" s="124" t="s">
        <v>181</v>
      </c>
      <c r="B533" s="632" t="s">
        <v>231</v>
      </c>
      <c r="C533" s="577" t="s">
        <v>1057</v>
      </c>
      <c r="D533" s="577" t="s">
        <v>1055</v>
      </c>
      <c r="E533" s="577">
        <v>21.031746031746032</v>
      </c>
      <c r="F533" s="577">
        <v>12.426303854875284</v>
      </c>
      <c r="G533" s="577">
        <v>82.857142857142861</v>
      </c>
      <c r="H533" s="577">
        <v>82.857142857142861</v>
      </c>
      <c r="I533" s="577">
        <v>61.82539682539683</v>
      </c>
      <c r="J533" s="577">
        <v>95.283446712018147</v>
      </c>
      <c r="K533" s="445">
        <f t="shared" si="12"/>
        <v>-17.142857142857139</v>
      </c>
      <c r="L533" s="445">
        <f t="shared" si="13"/>
        <v>-38.17460317460317</v>
      </c>
      <c r="M533" s="445">
        <f t="shared" si="14"/>
        <v>-4.7165532879818528</v>
      </c>
    </row>
    <row r="534" spans="1:13" s="437" customFormat="1" x14ac:dyDescent="0.3">
      <c r="A534" s="124" t="s">
        <v>181</v>
      </c>
      <c r="B534" s="631" t="s">
        <v>233</v>
      </c>
      <c r="C534" s="124" t="s">
        <v>1052</v>
      </c>
      <c r="D534" s="124" t="s">
        <v>1053</v>
      </c>
      <c r="E534" s="124">
        <v>19.853174603174601</v>
      </c>
      <c r="F534" s="124">
        <v>27.077380952380953</v>
      </c>
      <c r="G534" s="124">
        <v>59.125</v>
      </c>
      <c r="H534" s="124">
        <v>59.125</v>
      </c>
      <c r="I534" s="124">
        <v>39.271825396825399</v>
      </c>
      <c r="J534" s="124">
        <v>86.202380952380949</v>
      </c>
      <c r="K534" s="445">
        <f t="shared" si="12"/>
        <v>-40.875</v>
      </c>
      <c r="L534" s="445">
        <f t="shared" si="13"/>
        <v>-60.728174603174601</v>
      </c>
      <c r="M534" s="445">
        <f t="shared" si="14"/>
        <v>-13.797619047619051</v>
      </c>
    </row>
    <row r="535" spans="1:13" s="437" customFormat="1" x14ac:dyDescent="0.3">
      <c r="A535" s="124" t="s">
        <v>181</v>
      </c>
      <c r="B535" s="631" t="s">
        <v>233</v>
      </c>
      <c r="C535" s="146" t="s">
        <v>1056</v>
      </c>
      <c r="D535" s="146" t="s">
        <v>1053</v>
      </c>
      <c r="E535" s="124">
        <v>16.845238095238095</v>
      </c>
      <c r="F535" s="124">
        <v>15.46626984126984</v>
      </c>
      <c r="G535" s="124">
        <v>79.875</v>
      </c>
      <c r="H535" s="124">
        <v>79.875</v>
      </c>
      <c r="I535" s="124">
        <v>63.029761904761905</v>
      </c>
      <c r="J535" s="124">
        <v>95.341269841269835</v>
      </c>
      <c r="K535" s="445">
        <f t="shared" si="12"/>
        <v>-20.125</v>
      </c>
      <c r="L535" s="445">
        <f t="shared" si="13"/>
        <v>-36.970238095238095</v>
      </c>
      <c r="M535" s="445">
        <f t="shared" si="14"/>
        <v>-4.6587301587301653</v>
      </c>
    </row>
    <row r="536" spans="1:13" s="437" customFormat="1" x14ac:dyDescent="0.3">
      <c r="A536" s="124" t="s">
        <v>181</v>
      </c>
      <c r="B536" s="631" t="s">
        <v>233</v>
      </c>
      <c r="C536" s="146" t="s">
        <v>1057</v>
      </c>
      <c r="D536" s="146" t="s">
        <v>1053</v>
      </c>
      <c r="E536" s="124">
        <v>0</v>
      </c>
      <c r="F536" s="124">
        <v>0</v>
      </c>
      <c r="G536" s="124">
        <v>100</v>
      </c>
      <c r="H536" s="124">
        <v>100</v>
      </c>
      <c r="I536" s="124">
        <v>100</v>
      </c>
      <c r="J536" s="124">
        <v>100</v>
      </c>
      <c r="K536" s="445">
        <f t="shared" si="12"/>
        <v>0</v>
      </c>
      <c r="L536" s="445">
        <f t="shared" si="13"/>
        <v>0</v>
      </c>
      <c r="M536" s="445">
        <f t="shared" si="14"/>
        <v>0</v>
      </c>
    </row>
    <row r="537" spans="1:13" s="437" customFormat="1" x14ac:dyDescent="0.3">
      <c r="A537" s="124" t="s">
        <v>181</v>
      </c>
      <c r="B537" s="631" t="s">
        <v>233</v>
      </c>
      <c r="C537" s="146" t="s">
        <v>1052</v>
      </c>
      <c r="D537" s="146" t="s">
        <v>1054</v>
      </c>
      <c r="E537" s="146">
        <v>24.547152194211019</v>
      </c>
      <c r="F537" s="146">
        <v>30.454014939309054</v>
      </c>
      <c r="G537" s="146">
        <v>61.25</v>
      </c>
      <c r="H537" s="146">
        <v>61.25</v>
      </c>
      <c r="I537" s="146">
        <v>36.702847805788977</v>
      </c>
      <c r="J537" s="146">
        <v>91.704014939309047</v>
      </c>
      <c r="K537" s="445">
        <f t="shared" si="12"/>
        <v>-38.75</v>
      </c>
      <c r="L537" s="445">
        <f t="shared" si="13"/>
        <v>-63.297152194211023</v>
      </c>
      <c r="M537" s="445">
        <f t="shared" si="14"/>
        <v>-8.2959850606909527</v>
      </c>
    </row>
    <row r="538" spans="1:13" s="437" customFormat="1" x14ac:dyDescent="0.3">
      <c r="A538" s="124" t="s">
        <v>181</v>
      </c>
      <c r="B538" s="631" t="s">
        <v>233</v>
      </c>
      <c r="C538" s="124" t="s">
        <v>1056</v>
      </c>
      <c r="D538" s="124" t="s">
        <v>1054</v>
      </c>
      <c r="E538" s="124">
        <v>24.809290382819793</v>
      </c>
      <c r="F538" s="124">
        <v>24.938025210084032</v>
      </c>
      <c r="G538" s="124">
        <v>79.625</v>
      </c>
      <c r="H538" s="124">
        <v>79.625</v>
      </c>
      <c r="I538" s="124">
        <v>54.815709617180204</v>
      </c>
      <c r="J538" s="124">
        <v>104.56302521008404</v>
      </c>
      <c r="K538" s="445">
        <f t="shared" si="12"/>
        <v>-20.375</v>
      </c>
      <c r="L538" s="445">
        <f t="shared" si="13"/>
        <v>-45.184290382819796</v>
      </c>
      <c r="M538" s="445">
        <f t="shared" si="14"/>
        <v>4.5630252100840352</v>
      </c>
    </row>
    <row r="539" spans="1:13" s="437" customFormat="1" x14ac:dyDescent="0.3">
      <c r="A539" s="124" t="s">
        <v>181</v>
      </c>
      <c r="B539" s="631" t="s">
        <v>233</v>
      </c>
      <c r="C539" s="124" t="s">
        <v>1057</v>
      </c>
      <c r="D539" s="146" t="s">
        <v>1054</v>
      </c>
      <c r="E539" s="124">
        <v>28.611111111111107</v>
      </c>
      <c r="F539" s="124">
        <v>13.414682539682541</v>
      </c>
      <c r="G539" s="124">
        <v>97</v>
      </c>
      <c r="H539" s="124">
        <v>97</v>
      </c>
      <c r="I539" s="124">
        <v>68.388888888888886</v>
      </c>
      <c r="J539" s="124">
        <v>110.41468253968254</v>
      </c>
      <c r="K539" s="445">
        <f t="shared" si="12"/>
        <v>-3</v>
      </c>
      <c r="L539" s="445">
        <f t="shared" si="13"/>
        <v>-31.611111111111114</v>
      </c>
      <c r="M539" s="445">
        <f t="shared" si="14"/>
        <v>10.414682539682545</v>
      </c>
    </row>
    <row r="540" spans="1:13" s="437" customFormat="1" x14ac:dyDescent="0.3">
      <c r="A540" s="124" t="s">
        <v>181</v>
      </c>
      <c r="B540" s="631" t="s">
        <v>233</v>
      </c>
      <c r="C540" s="124" t="s">
        <v>1052</v>
      </c>
      <c r="D540" s="146" t="s">
        <v>1055</v>
      </c>
      <c r="E540" s="124">
        <v>21.213818860877687</v>
      </c>
      <c r="F540" s="124">
        <v>30.930205415499533</v>
      </c>
      <c r="G540" s="124">
        <v>69.375</v>
      </c>
      <c r="H540" s="124">
        <v>69.375</v>
      </c>
      <c r="I540" s="124">
        <v>48.161181139122313</v>
      </c>
      <c r="J540" s="124">
        <v>100.30520541549953</v>
      </c>
      <c r="K540" s="445">
        <f t="shared" si="12"/>
        <v>-30.625</v>
      </c>
      <c r="L540" s="445">
        <f t="shared" si="13"/>
        <v>-51.838818860877687</v>
      </c>
      <c r="M540" s="445">
        <f t="shared" si="14"/>
        <v>0.30520541549952895</v>
      </c>
    </row>
    <row r="541" spans="1:13" s="437" customFormat="1" x14ac:dyDescent="0.3">
      <c r="A541" s="124" t="s">
        <v>181</v>
      </c>
      <c r="B541" s="631" t="s">
        <v>233</v>
      </c>
      <c r="C541" s="146" t="s">
        <v>1056</v>
      </c>
      <c r="D541" s="146" t="s">
        <v>1055</v>
      </c>
      <c r="E541" s="146">
        <v>26.65441176470588</v>
      </c>
      <c r="F541" s="146">
        <v>21.902427637721754</v>
      </c>
      <c r="G541" s="146">
        <v>86.25</v>
      </c>
      <c r="H541" s="146">
        <v>86.25</v>
      </c>
      <c r="I541" s="146">
        <v>59.595588235294116</v>
      </c>
      <c r="J541" s="146">
        <v>108.15242763772176</v>
      </c>
      <c r="K541" s="445">
        <f t="shared" si="12"/>
        <v>-13.75</v>
      </c>
      <c r="L541" s="445">
        <f t="shared" si="13"/>
        <v>-40.404411764705884</v>
      </c>
      <c r="M541" s="445">
        <f t="shared" si="14"/>
        <v>8.1524276377217575</v>
      </c>
    </row>
    <row r="542" spans="1:13" s="437" customFormat="1" ht="15" thickBot="1" x14ac:dyDescent="0.35">
      <c r="A542" s="124" t="s">
        <v>181</v>
      </c>
      <c r="B542" s="631" t="s">
        <v>233</v>
      </c>
      <c r="C542" s="146" t="s">
        <v>1057</v>
      </c>
      <c r="D542" s="146" t="s">
        <v>1055</v>
      </c>
      <c r="E542" s="146">
        <v>29.394841269841269</v>
      </c>
      <c r="F542" s="146">
        <v>21.180555555555554</v>
      </c>
      <c r="G542" s="146">
        <v>91.875</v>
      </c>
      <c r="H542" s="146">
        <v>91.875</v>
      </c>
      <c r="I542" s="146">
        <v>62.480158730158735</v>
      </c>
      <c r="J542" s="146">
        <v>113.05555555555556</v>
      </c>
      <c r="K542" s="445">
        <f t="shared" si="12"/>
        <v>-8.125</v>
      </c>
      <c r="L542" s="445">
        <f t="shared" si="13"/>
        <v>-37.519841269841265</v>
      </c>
      <c r="M542" s="445">
        <f t="shared" si="14"/>
        <v>13.055555555555557</v>
      </c>
    </row>
    <row r="543" spans="1:13" s="437" customFormat="1" x14ac:dyDescent="0.3">
      <c r="A543" s="124" t="s">
        <v>181</v>
      </c>
      <c r="B543" s="630" t="s">
        <v>236</v>
      </c>
      <c r="C543" s="293" t="s">
        <v>1052</v>
      </c>
      <c r="D543" s="293" t="s">
        <v>1053</v>
      </c>
      <c r="E543" s="293">
        <v>19.853174603174601</v>
      </c>
      <c r="F543" s="293">
        <v>27.077380952380953</v>
      </c>
      <c r="G543" s="293">
        <v>59.125</v>
      </c>
      <c r="H543" s="293">
        <v>59.125</v>
      </c>
      <c r="I543" s="293">
        <v>39.271825396825399</v>
      </c>
      <c r="J543" s="293">
        <v>86.202380952380949</v>
      </c>
      <c r="K543" s="445">
        <f t="shared" si="12"/>
        <v>-40.875</v>
      </c>
      <c r="L543" s="445">
        <f t="shared" si="13"/>
        <v>-60.728174603174601</v>
      </c>
      <c r="M543" s="445">
        <f t="shared" si="14"/>
        <v>-13.797619047619051</v>
      </c>
    </row>
    <row r="544" spans="1:13" s="437" customFormat="1" x14ac:dyDescent="0.3">
      <c r="A544" s="124" t="s">
        <v>181</v>
      </c>
      <c r="B544" s="631" t="s">
        <v>236</v>
      </c>
      <c r="C544" s="146" t="s">
        <v>1056</v>
      </c>
      <c r="D544" s="146" t="s">
        <v>1053</v>
      </c>
      <c r="E544" s="124">
        <v>16.845238095238095</v>
      </c>
      <c r="F544" s="124">
        <v>15.46626984126984</v>
      </c>
      <c r="G544" s="124">
        <v>79.875</v>
      </c>
      <c r="H544" s="124">
        <v>79.875</v>
      </c>
      <c r="I544" s="124">
        <v>63.029761904761905</v>
      </c>
      <c r="J544" s="124">
        <v>95.341269841269835</v>
      </c>
      <c r="K544" s="445">
        <f t="shared" si="12"/>
        <v>-20.125</v>
      </c>
      <c r="L544" s="445">
        <f t="shared" si="13"/>
        <v>-36.970238095238095</v>
      </c>
      <c r="M544" s="445">
        <f t="shared" si="14"/>
        <v>-4.6587301587301653</v>
      </c>
    </row>
    <row r="545" spans="1:13" s="437" customFormat="1" x14ac:dyDescent="0.3">
      <c r="A545" s="124" t="s">
        <v>181</v>
      </c>
      <c r="B545" s="631" t="s">
        <v>236</v>
      </c>
      <c r="C545" s="146" t="s">
        <v>1057</v>
      </c>
      <c r="D545" s="146" t="s">
        <v>1053</v>
      </c>
      <c r="E545" s="124">
        <v>0</v>
      </c>
      <c r="F545" s="124">
        <v>0</v>
      </c>
      <c r="G545" s="124">
        <v>100</v>
      </c>
      <c r="H545" s="124">
        <v>100</v>
      </c>
      <c r="I545" s="124">
        <v>100</v>
      </c>
      <c r="J545" s="124">
        <v>100</v>
      </c>
      <c r="K545" s="445">
        <f t="shared" si="12"/>
        <v>0</v>
      </c>
      <c r="L545" s="445">
        <f t="shared" si="13"/>
        <v>0</v>
      </c>
      <c r="M545" s="445">
        <f t="shared" si="14"/>
        <v>0</v>
      </c>
    </row>
    <row r="546" spans="1:13" s="437" customFormat="1" x14ac:dyDescent="0.3">
      <c r="A546" s="124" t="s">
        <v>181</v>
      </c>
      <c r="B546" s="631" t="s">
        <v>236</v>
      </c>
      <c r="C546" s="146" t="s">
        <v>1052</v>
      </c>
      <c r="D546" s="146" t="s">
        <v>1054</v>
      </c>
      <c r="E546" s="124">
        <v>24.547152194211019</v>
      </c>
      <c r="F546" s="124">
        <v>30.454014939309054</v>
      </c>
      <c r="G546" s="124">
        <v>61.25</v>
      </c>
      <c r="H546" s="124">
        <v>61.25</v>
      </c>
      <c r="I546" s="124">
        <v>36.702847805788977</v>
      </c>
      <c r="J546" s="124">
        <v>91.704014939309047</v>
      </c>
      <c r="K546" s="445">
        <f t="shared" si="12"/>
        <v>-38.75</v>
      </c>
      <c r="L546" s="445">
        <f t="shared" si="13"/>
        <v>-63.297152194211023</v>
      </c>
      <c r="M546" s="445">
        <f t="shared" si="14"/>
        <v>-8.2959850606909527</v>
      </c>
    </row>
    <row r="547" spans="1:13" s="437" customFormat="1" x14ac:dyDescent="0.3">
      <c r="A547" s="124" t="s">
        <v>181</v>
      </c>
      <c r="B547" s="631" t="s">
        <v>236</v>
      </c>
      <c r="C547" s="124" t="s">
        <v>1056</v>
      </c>
      <c r="D547" s="124" t="s">
        <v>1054</v>
      </c>
      <c r="E547" s="124">
        <v>24.809290382819793</v>
      </c>
      <c r="F547" s="124">
        <v>24.938025210084032</v>
      </c>
      <c r="G547" s="124">
        <v>79.625</v>
      </c>
      <c r="H547" s="124">
        <v>79.625</v>
      </c>
      <c r="I547" s="124">
        <v>54.815709617180204</v>
      </c>
      <c r="J547" s="124">
        <v>104.56302521008404</v>
      </c>
      <c r="K547" s="445">
        <f t="shared" si="12"/>
        <v>-20.375</v>
      </c>
      <c r="L547" s="445">
        <f t="shared" si="13"/>
        <v>-45.184290382819796</v>
      </c>
      <c r="M547" s="445">
        <f t="shared" si="14"/>
        <v>4.5630252100840352</v>
      </c>
    </row>
    <row r="548" spans="1:13" s="437" customFormat="1" x14ac:dyDescent="0.3">
      <c r="A548" s="124" t="s">
        <v>181</v>
      </c>
      <c r="B548" s="631" t="s">
        <v>236</v>
      </c>
      <c r="C548" s="124" t="s">
        <v>1057</v>
      </c>
      <c r="D548" s="146" t="s">
        <v>1054</v>
      </c>
      <c r="E548" s="124">
        <v>28.611111111111107</v>
      </c>
      <c r="F548" s="124">
        <v>13.414682539682541</v>
      </c>
      <c r="G548" s="124">
        <v>97</v>
      </c>
      <c r="H548" s="124">
        <v>97</v>
      </c>
      <c r="I548" s="124">
        <v>68.388888888888886</v>
      </c>
      <c r="J548" s="124">
        <v>110.41468253968254</v>
      </c>
      <c r="K548" s="445">
        <f t="shared" si="12"/>
        <v>-3</v>
      </c>
      <c r="L548" s="445">
        <f t="shared" si="13"/>
        <v>-31.611111111111114</v>
      </c>
      <c r="M548" s="445">
        <f t="shared" si="14"/>
        <v>10.414682539682545</v>
      </c>
    </row>
    <row r="549" spans="1:13" s="437" customFormat="1" x14ac:dyDescent="0.3">
      <c r="A549" s="124" t="s">
        <v>181</v>
      </c>
      <c r="B549" s="631" t="s">
        <v>236</v>
      </c>
      <c r="C549" s="124" t="s">
        <v>1052</v>
      </c>
      <c r="D549" s="146" t="s">
        <v>1055</v>
      </c>
      <c r="E549" s="124">
        <v>21.213818860877687</v>
      </c>
      <c r="F549" s="124">
        <v>30.930205415499533</v>
      </c>
      <c r="G549" s="124">
        <v>69.375</v>
      </c>
      <c r="H549" s="124">
        <v>69.375</v>
      </c>
      <c r="I549" s="124">
        <v>48.161181139122313</v>
      </c>
      <c r="J549" s="124">
        <v>100.30520541549953</v>
      </c>
      <c r="K549" s="445">
        <f t="shared" si="12"/>
        <v>-30.625</v>
      </c>
      <c r="L549" s="445">
        <f t="shared" si="13"/>
        <v>-51.838818860877687</v>
      </c>
      <c r="M549" s="445">
        <f t="shared" si="14"/>
        <v>0.30520541549952895</v>
      </c>
    </row>
    <row r="550" spans="1:13" s="437" customFormat="1" x14ac:dyDescent="0.3">
      <c r="A550" s="124" t="s">
        <v>181</v>
      </c>
      <c r="B550" s="631" t="s">
        <v>236</v>
      </c>
      <c r="C550" s="146" t="s">
        <v>1056</v>
      </c>
      <c r="D550" s="124" t="s">
        <v>1055</v>
      </c>
      <c r="E550" s="146">
        <v>26.65441176470588</v>
      </c>
      <c r="F550" s="124">
        <v>21.902427637721754</v>
      </c>
      <c r="G550" s="124">
        <v>86.25</v>
      </c>
      <c r="H550" s="124">
        <v>86.25</v>
      </c>
      <c r="I550" s="124">
        <v>59.595588235294116</v>
      </c>
      <c r="J550" s="124">
        <v>108.15242763772176</v>
      </c>
      <c r="K550" s="445">
        <f t="shared" si="12"/>
        <v>-13.75</v>
      </c>
      <c r="L550" s="445">
        <f t="shared" si="13"/>
        <v>-40.404411764705884</v>
      </c>
      <c r="M550" s="445">
        <f t="shared" si="14"/>
        <v>8.1524276377217575</v>
      </c>
    </row>
    <row r="551" spans="1:13" s="437" customFormat="1" ht="15" thickBot="1" x14ac:dyDescent="0.35">
      <c r="A551" s="124" t="s">
        <v>181</v>
      </c>
      <c r="B551" s="632" t="s">
        <v>236</v>
      </c>
      <c r="C551" s="577" t="s">
        <v>1057</v>
      </c>
      <c r="D551" s="577" t="s">
        <v>1055</v>
      </c>
      <c r="E551" s="577">
        <v>29.394841269841269</v>
      </c>
      <c r="F551" s="577">
        <v>21.180555555555554</v>
      </c>
      <c r="G551" s="577">
        <v>91.875</v>
      </c>
      <c r="H551" s="577">
        <v>91.875</v>
      </c>
      <c r="I551" s="577">
        <v>62.480158730158735</v>
      </c>
      <c r="J551" s="577">
        <v>113.05555555555556</v>
      </c>
      <c r="K551" s="445">
        <f t="shared" si="12"/>
        <v>-8.125</v>
      </c>
      <c r="L551" s="445">
        <f t="shared" si="13"/>
        <v>-37.519841269841265</v>
      </c>
      <c r="M551" s="445">
        <f t="shared" si="14"/>
        <v>13.055555555555557</v>
      </c>
    </row>
    <row r="552" spans="1:13" s="437" customFormat="1" x14ac:dyDescent="0.3">
      <c r="A552" s="124" t="s">
        <v>181</v>
      </c>
      <c r="B552" s="631" t="s">
        <v>238</v>
      </c>
      <c r="C552" s="124" t="s">
        <v>1052</v>
      </c>
      <c r="D552" s="620" t="s">
        <v>1053</v>
      </c>
      <c r="E552" s="124">
        <v>19.853174603174601</v>
      </c>
      <c r="F552" s="124">
        <v>27.077380952380953</v>
      </c>
      <c r="G552" s="124">
        <v>59.125</v>
      </c>
      <c r="H552" s="124">
        <v>59.125</v>
      </c>
      <c r="I552" s="124">
        <v>39.271825396825399</v>
      </c>
      <c r="J552" s="124">
        <v>86.202380952380949</v>
      </c>
      <c r="K552" s="445">
        <f t="shared" si="12"/>
        <v>-40.875</v>
      </c>
      <c r="L552" s="445">
        <f t="shared" si="13"/>
        <v>-60.728174603174601</v>
      </c>
      <c r="M552" s="445">
        <f t="shared" si="14"/>
        <v>-13.797619047619051</v>
      </c>
    </row>
    <row r="553" spans="1:13" s="437" customFormat="1" x14ac:dyDescent="0.3">
      <c r="A553" s="124" t="s">
        <v>181</v>
      </c>
      <c r="B553" s="631" t="s">
        <v>238</v>
      </c>
      <c r="C553" s="146" t="s">
        <v>1056</v>
      </c>
      <c r="D553" s="620" t="s">
        <v>1053</v>
      </c>
      <c r="E553" s="124">
        <v>16.845238095238095</v>
      </c>
      <c r="F553" s="124">
        <v>15.46626984126984</v>
      </c>
      <c r="G553" s="124">
        <v>79.875</v>
      </c>
      <c r="H553" s="124">
        <v>79.875</v>
      </c>
      <c r="I553" s="124">
        <v>63.029761904761905</v>
      </c>
      <c r="J553" s="124">
        <v>95.341269841269835</v>
      </c>
      <c r="K553" s="445">
        <f t="shared" si="12"/>
        <v>-20.125</v>
      </c>
      <c r="L553" s="445">
        <f t="shared" si="13"/>
        <v>-36.970238095238095</v>
      </c>
      <c r="M553" s="445">
        <f t="shared" si="14"/>
        <v>-4.6587301587301653</v>
      </c>
    </row>
    <row r="554" spans="1:13" s="437" customFormat="1" x14ac:dyDescent="0.3">
      <c r="A554" s="124" t="s">
        <v>181</v>
      </c>
      <c r="B554" s="631" t="s">
        <v>238</v>
      </c>
      <c r="C554" s="146" t="s">
        <v>1057</v>
      </c>
      <c r="D554" s="620" t="s">
        <v>1053</v>
      </c>
      <c r="E554" s="124">
        <v>0</v>
      </c>
      <c r="F554" s="124">
        <v>0</v>
      </c>
      <c r="G554" s="124">
        <v>100</v>
      </c>
      <c r="H554" s="124">
        <v>100</v>
      </c>
      <c r="I554" s="124">
        <v>100</v>
      </c>
      <c r="J554" s="124">
        <v>100</v>
      </c>
      <c r="K554" s="445">
        <f t="shared" si="12"/>
        <v>0</v>
      </c>
      <c r="L554" s="445">
        <f t="shared" si="13"/>
        <v>0</v>
      </c>
      <c r="M554" s="445">
        <f t="shared" si="14"/>
        <v>0</v>
      </c>
    </row>
    <row r="555" spans="1:13" s="437" customFormat="1" x14ac:dyDescent="0.3">
      <c r="A555" s="124" t="s">
        <v>181</v>
      </c>
      <c r="B555" s="631" t="s">
        <v>238</v>
      </c>
      <c r="C555" s="146" t="s">
        <v>1052</v>
      </c>
      <c r="D555" s="620" t="s">
        <v>1054</v>
      </c>
      <c r="E555" s="124">
        <v>24.547152194211019</v>
      </c>
      <c r="F555" s="124">
        <v>30.454014939309054</v>
      </c>
      <c r="G555" s="124">
        <v>61.25</v>
      </c>
      <c r="H555" s="124">
        <v>61.25</v>
      </c>
      <c r="I555" s="124">
        <v>36.702847805788977</v>
      </c>
      <c r="J555" s="124">
        <v>91.704014939309047</v>
      </c>
      <c r="K555" s="445">
        <f t="shared" si="12"/>
        <v>-38.75</v>
      </c>
      <c r="L555" s="445">
        <f t="shared" si="13"/>
        <v>-63.297152194211023</v>
      </c>
      <c r="M555" s="445">
        <f t="shared" si="14"/>
        <v>-8.2959850606909527</v>
      </c>
    </row>
    <row r="556" spans="1:13" s="437" customFormat="1" x14ac:dyDescent="0.3">
      <c r="A556" s="124" t="s">
        <v>181</v>
      </c>
      <c r="B556" s="631" t="s">
        <v>238</v>
      </c>
      <c r="C556" s="124" t="s">
        <v>1056</v>
      </c>
      <c r="D556" s="620" t="s">
        <v>1054</v>
      </c>
      <c r="E556" s="124">
        <v>24.809290382819793</v>
      </c>
      <c r="F556" s="124">
        <v>24.938025210084032</v>
      </c>
      <c r="G556" s="124">
        <v>79.625</v>
      </c>
      <c r="H556" s="124">
        <v>79.625</v>
      </c>
      <c r="I556" s="124">
        <v>54.815709617180204</v>
      </c>
      <c r="J556" s="124">
        <v>104.56302521008404</v>
      </c>
      <c r="K556" s="445">
        <f t="shared" si="12"/>
        <v>-20.375</v>
      </c>
      <c r="L556" s="445">
        <f t="shared" si="13"/>
        <v>-45.184290382819796</v>
      </c>
      <c r="M556" s="445">
        <f t="shared" si="14"/>
        <v>4.5630252100840352</v>
      </c>
    </row>
    <row r="557" spans="1:13" s="437" customFormat="1" x14ac:dyDescent="0.3">
      <c r="A557" s="124" t="s">
        <v>181</v>
      </c>
      <c r="B557" s="631" t="s">
        <v>238</v>
      </c>
      <c r="C557" s="124" t="s">
        <v>1057</v>
      </c>
      <c r="D557" s="620" t="s">
        <v>1054</v>
      </c>
      <c r="E557" s="124">
        <v>28.611111111111107</v>
      </c>
      <c r="F557" s="124">
        <v>13.414682539682541</v>
      </c>
      <c r="G557" s="124">
        <v>97</v>
      </c>
      <c r="H557" s="124">
        <v>97</v>
      </c>
      <c r="I557" s="124">
        <v>68.388888888888886</v>
      </c>
      <c r="J557" s="124">
        <v>110.41468253968254</v>
      </c>
      <c r="K557" s="445">
        <f t="shared" si="12"/>
        <v>-3</v>
      </c>
      <c r="L557" s="445">
        <f t="shared" si="13"/>
        <v>-31.611111111111114</v>
      </c>
      <c r="M557" s="445">
        <f t="shared" si="14"/>
        <v>10.414682539682545</v>
      </c>
    </row>
    <row r="558" spans="1:13" s="437" customFormat="1" x14ac:dyDescent="0.3">
      <c r="A558" s="124" t="s">
        <v>181</v>
      </c>
      <c r="B558" s="631" t="s">
        <v>238</v>
      </c>
      <c r="C558" s="124" t="s">
        <v>1052</v>
      </c>
      <c r="D558" s="620" t="s">
        <v>1055</v>
      </c>
      <c r="E558" s="124">
        <v>21.213818860877687</v>
      </c>
      <c r="F558" s="124">
        <v>30.930205415499533</v>
      </c>
      <c r="G558" s="124">
        <v>69.375</v>
      </c>
      <c r="H558" s="124">
        <v>69.375</v>
      </c>
      <c r="I558" s="124">
        <v>48.161181139122313</v>
      </c>
      <c r="J558" s="124">
        <v>100.30520541549953</v>
      </c>
      <c r="K558" s="445">
        <f t="shared" si="12"/>
        <v>-30.625</v>
      </c>
      <c r="L558" s="445">
        <f t="shared" si="13"/>
        <v>-51.838818860877687</v>
      </c>
      <c r="M558" s="445">
        <f t="shared" si="14"/>
        <v>0.30520541549952895</v>
      </c>
    </row>
    <row r="559" spans="1:13" s="437" customFormat="1" x14ac:dyDescent="0.3">
      <c r="A559" s="124" t="s">
        <v>181</v>
      </c>
      <c r="B559" s="631" t="s">
        <v>238</v>
      </c>
      <c r="C559" s="146" t="s">
        <v>1056</v>
      </c>
      <c r="D559" s="620" t="s">
        <v>1055</v>
      </c>
      <c r="E559" s="146">
        <v>26.65441176470588</v>
      </c>
      <c r="F559" s="124">
        <v>21.902427637721754</v>
      </c>
      <c r="G559" s="124">
        <v>86.25</v>
      </c>
      <c r="H559" s="124">
        <v>86.25</v>
      </c>
      <c r="I559" s="124">
        <v>59.595588235294116</v>
      </c>
      <c r="J559" s="124">
        <v>108.15242763772176</v>
      </c>
      <c r="K559" s="445">
        <f t="shared" si="12"/>
        <v>-13.75</v>
      </c>
      <c r="L559" s="445">
        <f t="shared" si="13"/>
        <v>-40.404411764705884</v>
      </c>
      <c r="M559" s="445">
        <f t="shared" si="14"/>
        <v>8.1524276377217575</v>
      </c>
    </row>
    <row r="560" spans="1:13" s="437" customFormat="1" ht="15" thickBot="1" x14ac:dyDescent="0.35">
      <c r="A560" s="124" t="s">
        <v>181</v>
      </c>
      <c r="B560" s="631" t="s">
        <v>238</v>
      </c>
      <c r="C560" s="146" t="s">
        <v>1057</v>
      </c>
      <c r="D560" s="620" t="s">
        <v>1055</v>
      </c>
      <c r="E560" s="146">
        <v>29.394841269841269</v>
      </c>
      <c r="F560" s="146">
        <v>21.180555555555554</v>
      </c>
      <c r="G560" s="146">
        <v>91.875</v>
      </c>
      <c r="H560" s="146">
        <v>91.875</v>
      </c>
      <c r="I560" s="146">
        <v>62.480158730158735</v>
      </c>
      <c r="J560" s="146">
        <v>113.05555555555556</v>
      </c>
      <c r="K560" s="445">
        <f t="shared" si="12"/>
        <v>-8.125</v>
      </c>
      <c r="L560" s="445">
        <f t="shared" si="13"/>
        <v>-37.519841269841265</v>
      </c>
      <c r="M560" s="445">
        <f t="shared" si="14"/>
        <v>13.055555555555557</v>
      </c>
    </row>
    <row r="561" spans="1:13" s="437" customFormat="1" x14ac:dyDescent="0.3">
      <c r="A561" s="124" t="s">
        <v>181</v>
      </c>
      <c r="B561" s="630" t="s">
        <v>240</v>
      </c>
      <c r="C561" s="293" t="s">
        <v>1052</v>
      </c>
      <c r="D561" s="293" t="s">
        <v>1053</v>
      </c>
      <c r="E561" s="293">
        <v>19.496031746031747</v>
      </c>
      <c r="F561" s="293">
        <v>26.720238095238095</v>
      </c>
      <c r="G561" s="293">
        <v>59.125</v>
      </c>
      <c r="H561" s="293">
        <v>59.125</v>
      </c>
      <c r="I561" s="293">
        <v>39.628968253968253</v>
      </c>
      <c r="J561" s="293">
        <v>85.845238095238102</v>
      </c>
      <c r="K561" s="445">
        <f t="shared" si="12"/>
        <v>-40.875</v>
      </c>
      <c r="L561" s="445">
        <f t="shared" si="13"/>
        <v>-60.371031746031747</v>
      </c>
      <c r="M561" s="445">
        <f t="shared" si="14"/>
        <v>-14.154761904761898</v>
      </c>
    </row>
    <row r="562" spans="1:13" s="437" customFormat="1" x14ac:dyDescent="0.3">
      <c r="A562" s="124" t="s">
        <v>181</v>
      </c>
      <c r="B562" s="631" t="s">
        <v>240</v>
      </c>
      <c r="C562" s="146" t="s">
        <v>1056</v>
      </c>
      <c r="D562" s="146" t="s">
        <v>1053</v>
      </c>
      <c r="E562" s="124">
        <v>16.398809523809526</v>
      </c>
      <c r="F562" s="124">
        <v>16.448412698412696</v>
      </c>
      <c r="G562" s="124">
        <v>79.25</v>
      </c>
      <c r="H562" s="124">
        <v>79.25</v>
      </c>
      <c r="I562" s="124">
        <v>62.851190476190474</v>
      </c>
      <c r="J562" s="124">
        <v>95.698412698412696</v>
      </c>
      <c r="K562" s="445">
        <f t="shared" si="12"/>
        <v>-20.75</v>
      </c>
      <c r="L562" s="445">
        <f t="shared" si="13"/>
        <v>-37.148809523809526</v>
      </c>
      <c r="M562" s="445">
        <f t="shared" si="14"/>
        <v>-4.3015873015873041</v>
      </c>
    </row>
    <row r="563" spans="1:13" s="437" customFormat="1" x14ac:dyDescent="0.3">
      <c r="A563" s="124" t="s">
        <v>181</v>
      </c>
      <c r="B563" s="631" t="s">
        <v>240</v>
      </c>
      <c r="C563" s="146" t="s">
        <v>1057</v>
      </c>
      <c r="D563" s="146" t="s">
        <v>1053</v>
      </c>
      <c r="E563" s="124">
        <v>0</v>
      </c>
      <c r="F563" s="124">
        <v>0</v>
      </c>
      <c r="G563" s="124">
        <v>100</v>
      </c>
      <c r="H563" s="146">
        <v>100</v>
      </c>
      <c r="I563" s="146">
        <v>100</v>
      </c>
      <c r="J563" s="146">
        <v>100</v>
      </c>
      <c r="K563" s="445">
        <f t="shared" si="12"/>
        <v>0</v>
      </c>
      <c r="L563" s="445">
        <f t="shared" si="13"/>
        <v>0</v>
      </c>
      <c r="M563" s="445">
        <f t="shared" si="14"/>
        <v>0</v>
      </c>
    </row>
    <row r="564" spans="1:13" s="437" customFormat="1" x14ac:dyDescent="0.3">
      <c r="A564" s="124" t="s">
        <v>181</v>
      </c>
      <c r="B564" s="631" t="s">
        <v>240</v>
      </c>
      <c r="C564" s="146" t="s">
        <v>1052</v>
      </c>
      <c r="D564" s="146" t="s">
        <v>1054</v>
      </c>
      <c r="E564" s="146">
        <v>23.475723622782446</v>
      </c>
      <c r="F564" s="146">
        <v>31.704014939309058</v>
      </c>
      <c r="G564" s="146">
        <v>61.25</v>
      </c>
      <c r="H564" s="146">
        <v>61.25</v>
      </c>
      <c r="I564" s="146">
        <v>37.774276377217554</v>
      </c>
      <c r="J564" s="146">
        <v>92.954014939309062</v>
      </c>
      <c r="K564" s="445">
        <f t="shared" si="12"/>
        <v>-38.75</v>
      </c>
      <c r="L564" s="445">
        <f t="shared" si="13"/>
        <v>-62.225723622782446</v>
      </c>
      <c r="M564" s="445">
        <f t="shared" si="14"/>
        <v>-7.0459850606909384</v>
      </c>
    </row>
    <row r="565" spans="1:13" s="437" customFormat="1" x14ac:dyDescent="0.3">
      <c r="A565" s="124" t="s">
        <v>181</v>
      </c>
      <c r="B565" s="631" t="s">
        <v>240</v>
      </c>
      <c r="C565" s="124" t="s">
        <v>1056</v>
      </c>
      <c r="D565" s="124" t="s">
        <v>1054</v>
      </c>
      <c r="E565" s="124">
        <v>22.934290382819793</v>
      </c>
      <c r="F565" s="124">
        <v>26.813025210084028</v>
      </c>
      <c r="G565" s="124">
        <v>78.375</v>
      </c>
      <c r="H565" s="124">
        <v>78.375</v>
      </c>
      <c r="I565" s="124">
        <v>55.440709617180204</v>
      </c>
      <c r="J565" s="124">
        <v>105.18802521008402</v>
      </c>
      <c r="K565" s="445">
        <f t="shared" si="12"/>
        <v>-21.625</v>
      </c>
      <c r="L565" s="445">
        <f t="shared" si="13"/>
        <v>-44.559290382819796</v>
      </c>
      <c r="M565" s="445">
        <f t="shared" si="14"/>
        <v>5.188025210084021</v>
      </c>
    </row>
    <row r="566" spans="1:13" s="437" customFormat="1" x14ac:dyDescent="0.3">
      <c r="A566" s="124" t="s">
        <v>181</v>
      </c>
      <c r="B566" s="631" t="s">
        <v>240</v>
      </c>
      <c r="C566" s="124" t="s">
        <v>1057</v>
      </c>
      <c r="D566" s="146" t="s">
        <v>1054</v>
      </c>
      <c r="E566" s="124">
        <v>29.277544351073757</v>
      </c>
      <c r="F566" s="124">
        <v>13.902544351073765</v>
      </c>
      <c r="G566" s="124">
        <v>97</v>
      </c>
      <c r="H566" s="124">
        <v>97</v>
      </c>
      <c r="I566" s="124">
        <v>67.722455648926243</v>
      </c>
      <c r="J566" s="124">
        <v>110.90254435107377</v>
      </c>
      <c r="K566" s="445">
        <f t="shared" si="12"/>
        <v>-3</v>
      </c>
      <c r="L566" s="445">
        <f t="shared" si="13"/>
        <v>-32.277544351073757</v>
      </c>
      <c r="M566" s="445">
        <f t="shared" si="14"/>
        <v>10.902544351073772</v>
      </c>
    </row>
    <row r="567" spans="1:13" s="437" customFormat="1" x14ac:dyDescent="0.3">
      <c r="A567" s="124" t="s">
        <v>181</v>
      </c>
      <c r="B567" s="631" t="s">
        <v>240</v>
      </c>
      <c r="C567" s="146" t="s">
        <v>1052</v>
      </c>
      <c r="D567" s="146" t="s">
        <v>1055</v>
      </c>
      <c r="E567" s="146">
        <v>19.884453781512605</v>
      </c>
      <c r="F567" s="146">
        <v>31.65441176470588</v>
      </c>
      <c r="G567" s="146">
        <v>69.375</v>
      </c>
      <c r="H567" s="146">
        <v>69.375</v>
      </c>
      <c r="I567" s="146">
        <v>49.490546218487395</v>
      </c>
      <c r="J567" s="146">
        <v>101.02941176470588</v>
      </c>
      <c r="K567" s="445">
        <f t="shared" si="12"/>
        <v>-30.625</v>
      </c>
      <c r="L567" s="445">
        <f t="shared" si="13"/>
        <v>-50.509453781512605</v>
      </c>
      <c r="M567" s="445">
        <f t="shared" si="14"/>
        <v>1.029411764705884</v>
      </c>
    </row>
    <row r="568" spans="1:13" s="437" customFormat="1" x14ac:dyDescent="0.3">
      <c r="A568" s="124" t="s">
        <v>181</v>
      </c>
      <c r="B568" s="631" t="s">
        <v>240</v>
      </c>
      <c r="C568" s="146" t="s">
        <v>1056</v>
      </c>
      <c r="D568" s="124" t="s">
        <v>1055</v>
      </c>
      <c r="E568" s="146">
        <v>26.366713352007469</v>
      </c>
      <c r="F568" s="124">
        <v>22.10084033613445</v>
      </c>
      <c r="G568" s="124">
        <v>86.25</v>
      </c>
      <c r="H568" s="124">
        <v>86.25</v>
      </c>
      <c r="I568" s="124">
        <v>59.883286647992534</v>
      </c>
      <c r="J568" s="124">
        <v>108.35084033613445</v>
      </c>
      <c r="K568" s="445">
        <f t="shared" si="12"/>
        <v>-13.75</v>
      </c>
      <c r="L568" s="445">
        <f t="shared" si="13"/>
        <v>-40.116713352007466</v>
      </c>
      <c r="M568" s="445">
        <f t="shared" si="14"/>
        <v>8.3508403361344534</v>
      </c>
    </row>
    <row r="569" spans="1:13" s="437" customFormat="1" ht="15" thickBot="1" x14ac:dyDescent="0.35">
      <c r="A569" s="124" t="s">
        <v>181</v>
      </c>
      <c r="B569" s="632" t="s">
        <v>240</v>
      </c>
      <c r="C569" s="577" t="s">
        <v>1057</v>
      </c>
      <c r="D569" s="577" t="s">
        <v>1055</v>
      </c>
      <c r="E569" s="577">
        <v>30.126633986928105</v>
      </c>
      <c r="F569" s="577">
        <v>20.48377684407096</v>
      </c>
      <c r="G569" s="577">
        <v>93.75</v>
      </c>
      <c r="H569" s="577">
        <v>93.75</v>
      </c>
      <c r="I569" s="577">
        <v>63.623366013071895</v>
      </c>
      <c r="J569" s="577">
        <v>114.23377684407096</v>
      </c>
      <c r="K569" s="445">
        <f t="shared" si="12"/>
        <v>-6.25</v>
      </c>
      <c r="L569" s="445">
        <f t="shared" si="13"/>
        <v>-36.376633986928105</v>
      </c>
      <c r="M569" s="445">
        <f t="shared" si="14"/>
        <v>14.23377684407096</v>
      </c>
    </row>
    <row r="570" spans="1:13" s="437" customFormat="1" x14ac:dyDescent="0.3">
      <c r="A570" s="124" t="s">
        <v>181</v>
      </c>
      <c r="B570" s="631" t="s">
        <v>242</v>
      </c>
      <c r="C570" s="124" t="s">
        <v>1052</v>
      </c>
      <c r="D570" s="620" t="s">
        <v>1053</v>
      </c>
      <c r="E570" s="124">
        <v>19.067460317460316</v>
      </c>
      <c r="F570" s="124">
        <v>26.196428571428569</v>
      </c>
      <c r="G570" s="124">
        <v>59.75</v>
      </c>
      <c r="H570" s="124">
        <v>59.75</v>
      </c>
      <c r="I570" s="124">
        <v>40.682539682539684</v>
      </c>
      <c r="J570" s="124">
        <v>85.946428571428569</v>
      </c>
      <c r="K570" s="445">
        <f t="shared" si="12"/>
        <v>-40.25</v>
      </c>
      <c r="L570" s="445">
        <f t="shared" si="13"/>
        <v>-59.317460317460316</v>
      </c>
      <c r="M570" s="445">
        <f t="shared" si="14"/>
        <v>-14.053571428571431</v>
      </c>
    </row>
    <row r="571" spans="1:13" s="437" customFormat="1" x14ac:dyDescent="0.3">
      <c r="A571" s="124" t="s">
        <v>181</v>
      </c>
      <c r="B571" s="631" t="s">
        <v>242</v>
      </c>
      <c r="C571" s="146" t="s">
        <v>1056</v>
      </c>
      <c r="D571" s="620" t="s">
        <v>1053</v>
      </c>
      <c r="E571" s="124">
        <v>17.666666666666664</v>
      </c>
      <c r="F571" s="124">
        <v>14.644841269841269</v>
      </c>
      <c r="G571" s="124">
        <v>80.5</v>
      </c>
      <c r="H571" s="124">
        <v>80.5</v>
      </c>
      <c r="I571" s="124">
        <v>62.833333333333336</v>
      </c>
      <c r="J571" s="124">
        <v>95.144841269841265</v>
      </c>
      <c r="K571" s="445">
        <f t="shared" si="12"/>
        <v>-19.5</v>
      </c>
      <c r="L571" s="445">
        <f t="shared" si="13"/>
        <v>-37.166666666666664</v>
      </c>
      <c r="M571" s="445">
        <f t="shared" si="14"/>
        <v>-4.8551587301587347</v>
      </c>
    </row>
    <row r="572" spans="1:13" s="437" customFormat="1" x14ac:dyDescent="0.3">
      <c r="A572" s="124" t="s">
        <v>181</v>
      </c>
      <c r="B572" s="631" t="s">
        <v>242</v>
      </c>
      <c r="C572" s="146" t="s">
        <v>1057</v>
      </c>
      <c r="D572" s="620" t="s">
        <v>1053</v>
      </c>
      <c r="E572" s="146">
        <v>0</v>
      </c>
      <c r="F572" s="146">
        <v>0</v>
      </c>
      <c r="G572" s="146">
        <v>100</v>
      </c>
      <c r="H572" s="146">
        <v>100</v>
      </c>
      <c r="I572" s="146">
        <v>100</v>
      </c>
      <c r="J572" s="146">
        <v>100</v>
      </c>
      <c r="K572" s="445">
        <f t="shared" si="12"/>
        <v>0</v>
      </c>
      <c r="L572" s="445">
        <f t="shared" si="13"/>
        <v>0</v>
      </c>
      <c r="M572" s="445">
        <f t="shared" si="14"/>
        <v>0</v>
      </c>
    </row>
    <row r="573" spans="1:13" s="437" customFormat="1" x14ac:dyDescent="0.3">
      <c r="A573" s="124" t="s">
        <v>181</v>
      </c>
      <c r="B573" s="631" t="s">
        <v>242</v>
      </c>
      <c r="C573" s="146" t="s">
        <v>1052</v>
      </c>
      <c r="D573" s="620" t="s">
        <v>1054</v>
      </c>
      <c r="E573" s="124">
        <v>27.15219421101774</v>
      </c>
      <c r="F573" s="124">
        <v>29.277544351073761</v>
      </c>
      <c r="G573" s="124">
        <v>63.75</v>
      </c>
      <c r="H573" s="124">
        <v>63.75</v>
      </c>
      <c r="I573" s="124">
        <v>36.597805788982257</v>
      </c>
      <c r="J573" s="124">
        <v>93.027544351073757</v>
      </c>
      <c r="K573" s="445">
        <f t="shared" si="12"/>
        <v>-36.25</v>
      </c>
      <c r="L573" s="445">
        <f t="shared" si="13"/>
        <v>-63.402194211017743</v>
      </c>
      <c r="M573" s="445">
        <f t="shared" si="14"/>
        <v>-6.9724556489262426</v>
      </c>
    </row>
    <row r="574" spans="1:13" s="437" customFormat="1" x14ac:dyDescent="0.3">
      <c r="A574" s="124" t="s">
        <v>181</v>
      </c>
      <c r="B574" s="631" t="s">
        <v>242</v>
      </c>
      <c r="C574" s="124" t="s">
        <v>1056</v>
      </c>
      <c r="D574" s="620" t="s">
        <v>1054</v>
      </c>
      <c r="E574" s="124">
        <v>26.327147525676935</v>
      </c>
      <c r="F574" s="124">
        <v>25.221638655462179</v>
      </c>
      <c r="G574" s="124">
        <v>83.625</v>
      </c>
      <c r="H574" s="124">
        <v>83.625</v>
      </c>
      <c r="I574" s="124">
        <v>57.297852474323065</v>
      </c>
      <c r="J574" s="124">
        <v>108.84663865546219</v>
      </c>
      <c r="K574" s="445">
        <f t="shared" si="12"/>
        <v>-16.375</v>
      </c>
      <c r="L574" s="445">
        <f t="shared" si="13"/>
        <v>-42.702147525676935</v>
      </c>
      <c r="M574" s="445">
        <f t="shared" si="14"/>
        <v>8.8466386554621863</v>
      </c>
    </row>
    <row r="575" spans="1:13" s="437" customFormat="1" x14ac:dyDescent="0.3">
      <c r="A575" s="124" t="s">
        <v>181</v>
      </c>
      <c r="B575" s="631" t="s">
        <v>242</v>
      </c>
      <c r="C575" s="146" t="s">
        <v>1057</v>
      </c>
      <c r="D575" s="620" t="s">
        <v>1054</v>
      </c>
      <c r="E575" s="146">
        <v>27.912698412698411</v>
      </c>
      <c r="F575" s="146">
        <v>13.952380952380953</v>
      </c>
      <c r="G575" s="146">
        <v>98.375</v>
      </c>
      <c r="H575" s="146">
        <v>98.375</v>
      </c>
      <c r="I575" s="146">
        <v>70.462301587301596</v>
      </c>
      <c r="J575" s="146">
        <v>112.32738095238095</v>
      </c>
      <c r="K575" s="445">
        <f t="shared" ref="K575:K638" si="15">0-(100-H575)</f>
        <v>-1.625</v>
      </c>
      <c r="L575" s="445">
        <f t="shared" ref="L575:L638" si="16">0-(100-I575)</f>
        <v>-29.537698412698404</v>
      </c>
      <c r="M575" s="445">
        <f t="shared" ref="M575:M638" si="17">0-(100-J575)</f>
        <v>12.327380952380949</v>
      </c>
    </row>
    <row r="576" spans="1:13" s="437" customFormat="1" x14ac:dyDescent="0.3">
      <c r="A576" s="124" t="s">
        <v>181</v>
      </c>
      <c r="B576" s="631" t="s">
        <v>242</v>
      </c>
      <c r="C576" s="124" t="s">
        <v>1052</v>
      </c>
      <c r="D576" s="620" t="s">
        <v>1055</v>
      </c>
      <c r="E576" s="124">
        <v>26.937908496732025</v>
      </c>
      <c r="F576" s="124">
        <v>28.841036414565824</v>
      </c>
      <c r="G576" s="124">
        <v>76.125</v>
      </c>
      <c r="H576" s="124">
        <v>76.125</v>
      </c>
      <c r="I576" s="124">
        <v>49.187091503267979</v>
      </c>
      <c r="J576" s="124">
        <v>104.96603641456582</v>
      </c>
      <c r="K576" s="445">
        <f t="shared" si="15"/>
        <v>-23.875</v>
      </c>
      <c r="L576" s="445">
        <f t="shared" si="16"/>
        <v>-50.812908496732021</v>
      </c>
      <c r="M576" s="445">
        <f t="shared" si="17"/>
        <v>4.9660364145658207</v>
      </c>
    </row>
    <row r="577" spans="1:13" s="437" customFormat="1" x14ac:dyDescent="0.3">
      <c r="A577" s="124" t="s">
        <v>181</v>
      </c>
      <c r="B577" s="631" t="s">
        <v>242</v>
      </c>
      <c r="C577" s="146" t="s">
        <v>1056</v>
      </c>
      <c r="D577" s="620" t="s">
        <v>1055</v>
      </c>
      <c r="E577" s="146">
        <v>31.692110177404288</v>
      </c>
      <c r="F577" s="146">
        <v>19.339052287581694</v>
      </c>
      <c r="G577" s="146">
        <v>93.375</v>
      </c>
      <c r="H577" s="146">
        <v>93.375</v>
      </c>
      <c r="I577" s="146">
        <v>61.682889822595712</v>
      </c>
      <c r="J577" s="146">
        <v>112.71405228758169</v>
      </c>
      <c r="K577" s="445">
        <f t="shared" si="15"/>
        <v>-6.625</v>
      </c>
      <c r="L577" s="445">
        <f t="shared" si="16"/>
        <v>-38.317110177404288</v>
      </c>
      <c r="M577" s="445">
        <f t="shared" si="17"/>
        <v>12.714052287581694</v>
      </c>
    </row>
    <row r="578" spans="1:13" s="437" customFormat="1" ht="15" thickBot="1" x14ac:dyDescent="0.35">
      <c r="A578" s="124" t="s">
        <v>181</v>
      </c>
      <c r="B578" s="631" t="s">
        <v>242</v>
      </c>
      <c r="C578" s="146" t="s">
        <v>1057</v>
      </c>
      <c r="D578" s="620" t="s">
        <v>1055</v>
      </c>
      <c r="E578" s="146">
        <v>31.480158730158728</v>
      </c>
      <c r="F578" s="124">
        <v>20.25595238095238</v>
      </c>
      <c r="G578" s="124">
        <v>98.375</v>
      </c>
      <c r="H578" s="124">
        <v>98.375</v>
      </c>
      <c r="I578" s="124">
        <v>66.894841269841265</v>
      </c>
      <c r="J578" s="124">
        <v>118.63095238095238</v>
      </c>
      <c r="K578" s="445">
        <f t="shared" si="15"/>
        <v>-1.625</v>
      </c>
      <c r="L578" s="445">
        <f t="shared" si="16"/>
        <v>-33.105158730158735</v>
      </c>
      <c r="M578" s="445">
        <f t="shared" si="17"/>
        <v>18.63095238095238</v>
      </c>
    </row>
    <row r="579" spans="1:13" s="437" customFormat="1" x14ac:dyDescent="0.3">
      <c r="A579" s="124" t="s">
        <v>181</v>
      </c>
      <c r="B579" s="630" t="s">
        <v>244</v>
      </c>
      <c r="C579" s="293" t="s">
        <v>1052</v>
      </c>
      <c r="D579" s="293" t="s">
        <v>1053</v>
      </c>
      <c r="E579" s="293">
        <v>16.448412698412696</v>
      </c>
      <c r="F579" s="293">
        <v>20.93253968253968</v>
      </c>
      <c r="G579" s="293">
        <v>52.5</v>
      </c>
      <c r="H579" s="293">
        <v>52.5</v>
      </c>
      <c r="I579" s="293">
        <v>36.051587301587304</v>
      </c>
      <c r="J579" s="293">
        <v>73.432539682539684</v>
      </c>
      <c r="K579" s="445">
        <f t="shared" si="15"/>
        <v>-47.5</v>
      </c>
      <c r="L579" s="445">
        <f t="shared" si="16"/>
        <v>-63.948412698412696</v>
      </c>
      <c r="M579" s="445">
        <f t="shared" si="17"/>
        <v>-26.567460317460316</v>
      </c>
    </row>
    <row r="580" spans="1:13" s="437" customFormat="1" x14ac:dyDescent="0.3">
      <c r="A580" s="124" t="s">
        <v>181</v>
      </c>
      <c r="B580" s="631" t="s">
        <v>244</v>
      </c>
      <c r="C580" s="146" t="s">
        <v>1056</v>
      </c>
      <c r="D580" s="146" t="s">
        <v>1053</v>
      </c>
      <c r="E580" s="124">
        <v>18.313492063492063</v>
      </c>
      <c r="F580" s="124">
        <v>14.394841269841269</v>
      </c>
      <c r="G580" s="124">
        <v>75.625</v>
      </c>
      <c r="H580" s="124">
        <v>75.625</v>
      </c>
      <c r="I580" s="124">
        <v>57.311507936507937</v>
      </c>
      <c r="J580" s="124">
        <v>90.019841269841265</v>
      </c>
      <c r="K580" s="445">
        <f t="shared" si="15"/>
        <v>-24.375</v>
      </c>
      <c r="L580" s="445">
        <f t="shared" si="16"/>
        <v>-42.688492063492063</v>
      </c>
      <c r="M580" s="445">
        <f t="shared" si="17"/>
        <v>-9.9801587301587347</v>
      </c>
    </row>
    <row r="581" spans="1:13" s="437" customFormat="1" x14ac:dyDescent="0.3">
      <c r="A581" s="124" t="s">
        <v>181</v>
      </c>
      <c r="B581" s="631" t="s">
        <v>244</v>
      </c>
      <c r="C581" s="146" t="s">
        <v>1057</v>
      </c>
      <c r="D581" s="146" t="s">
        <v>1053</v>
      </c>
      <c r="E581" s="124">
        <v>0</v>
      </c>
      <c r="F581" s="124">
        <v>0</v>
      </c>
      <c r="G581" s="124">
        <v>100</v>
      </c>
      <c r="H581" s="124">
        <v>100</v>
      </c>
      <c r="I581" s="124">
        <v>100</v>
      </c>
      <c r="J581" s="124">
        <v>100</v>
      </c>
      <c r="K581" s="445">
        <f t="shared" si="15"/>
        <v>0</v>
      </c>
      <c r="L581" s="445">
        <f t="shared" si="16"/>
        <v>0</v>
      </c>
      <c r="M581" s="445">
        <f t="shared" si="17"/>
        <v>0</v>
      </c>
    </row>
    <row r="582" spans="1:13" s="437" customFormat="1" x14ac:dyDescent="0.3">
      <c r="A582" s="124" t="s">
        <v>181</v>
      </c>
      <c r="B582" s="631" t="s">
        <v>244</v>
      </c>
      <c r="C582" s="146" t="s">
        <v>1052</v>
      </c>
      <c r="D582" s="146" t="s">
        <v>1054</v>
      </c>
      <c r="E582" s="124">
        <v>19.67647058823529</v>
      </c>
      <c r="F582" s="124">
        <v>29.381652661064422</v>
      </c>
      <c r="G582" s="124">
        <v>46.375</v>
      </c>
      <c r="H582" s="124">
        <v>46.375</v>
      </c>
      <c r="I582" s="124">
        <v>26.69852941176471</v>
      </c>
      <c r="J582" s="124">
        <v>75.756652661064422</v>
      </c>
      <c r="K582" s="445">
        <f t="shared" si="15"/>
        <v>-53.625</v>
      </c>
      <c r="L582" s="445">
        <f t="shared" si="16"/>
        <v>-73.30147058823529</v>
      </c>
      <c r="M582" s="445">
        <f t="shared" si="17"/>
        <v>-24.243347338935578</v>
      </c>
    </row>
    <row r="583" spans="1:13" s="437" customFormat="1" x14ac:dyDescent="0.3">
      <c r="A583" s="124" t="s">
        <v>181</v>
      </c>
      <c r="B583" s="631" t="s">
        <v>244</v>
      </c>
      <c r="C583" s="124" t="s">
        <v>1056</v>
      </c>
      <c r="D583" s="146" t="s">
        <v>1054</v>
      </c>
      <c r="E583" s="124">
        <v>16.815359477124183</v>
      </c>
      <c r="F583" s="124">
        <v>20.320261437908496</v>
      </c>
      <c r="G583" s="124">
        <v>66.125</v>
      </c>
      <c r="H583" s="124">
        <v>66.125</v>
      </c>
      <c r="I583" s="124">
        <v>49.309640522875817</v>
      </c>
      <c r="J583" s="124">
        <v>86.445261437908499</v>
      </c>
      <c r="K583" s="445">
        <f t="shared" si="15"/>
        <v>-33.875</v>
      </c>
      <c r="L583" s="445">
        <f t="shared" si="16"/>
        <v>-50.690359477124183</v>
      </c>
      <c r="M583" s="445">
        <f t="shared" si="17"/>
        <v>-13.554738562091501</v>
      </c>
    </row>
    <row r="584" spans="1:13" s="437" customFormat="1" x14ac:dyDescent="0.3">
      <c r="A584" s="124" t="s">
        <v>181</v>
      </c>
      <c r="B584" s="631" t="s">
        <v>244</v>
      </c>
      <c r="C584" s="124" t="s">
        <v>1057</v>
      </c>
      <c r="D584" s="124" t="s">
        <v>1054</v>
      </c>
      <c r="E584" s="124">
        <v>12.152777777777779</v>
      </c>
      <c r="F584" s="124">
        <v>4.1924603174603172</v>
      </c>
      <c r="G584" s="124">
        <v>96.625</v>
      </c>
      <c r="H584" s="124">
        <v>96.625</v>
      </c>
      <c r="I584" s="124">
        <v>84.472222222222229</v>
      </c>
      <c r="J584" s="124">
        <v>100.81746031746032</v>
      </c>
      <c r="K584" s="445">
        <f t="shared" si="15"/>
        <v>-3.375</v>
      </c>
      <c r="L584" s="445">
        <f t="shared" si="16"/>
        <v>-15.527777777777771</v>
      </c>
      <c r="M584" s="445">
        <f t="shared" si="17"/>
        <v>0.81746031746031633</v>
      </c>
    </row>
    <row r="585" spans="1:13" s="437" customFormat="1" x14ac:dyDescent="0.3">
      <c r="A585" s="124" t="s">
        <v>181</v>
      </c>
      <c r="B585" s="631" t="s">
        <v>244</v>
      </c>
      <c r="C585" s="124" t="s">
        <v>1052</v>
      </c>
      <c r="D585" s="124" t="s">
        <v>1055</v>
      </c>
      <c r="E585" s="124">
        <v>21.664449112978524</v>
      </c>
      <c r="F585" s="124">
        <v>31.416199813258636</v>
      </c>
      <c r="G585" s="124">
        <v>35.75</v>
      </c>
      <c r="H585" s="124">
        <v>35.75</v>
      </c>
      <c r="I585" s="124">
        <v>14.085550887021476</v>
      </c>
      <c r="J585" s="124">
        <v>67.166199813258629</v>
      </c>
      <c r="K585" s="445">
        <f t="shared" si="15"/>
        <v>-64.25</v>
      </c>
      <c r="L585" s="445">
        <f t="shared" si="16"/>
        <v>-85.914449112978531</v>
      </c>
      <c r="M585" s="445">
        <f t="shared" si="17"/>
        <v>-32.833800186741371</v>
      </c>
    </row>
    <row r="586" spans="1:13" s="437" customFormat="1" x14ac:dyDescent="0.3">
      <c r="A586" s="124" t="s">
        <v>181</v>
      </c>
      <c r="B586" s="631" t="s">
        <v>244</v>
      </c>
      <c r="C586" s="146" t="s">
        <v>1056</v>
      </c>
      <c r="D586" s="146" t="s">
        <v>1055</v>
      </c>
      <c r="E586" s="146">
        <v>18.558356676003736</v>
      </c>
      <c r="F586" s="146">
        <v>25.373716153127916</v>
      </c>
      <c r="G586" s="146">
        <v>57.75</v>
      </c>
      <c r="H586" s="146">
        <v>57.75</v>
      </c>
      <c r="I586" s="146">
        <v>39.19164332399626</v>
      </c>
      <c r="J586" s="146">
        <v>83.123716153127916</v>
      </c>
      <c r="K586" s="445">
        <f t="shared" si="15"/>
        <v>-42.25</v>
      </c>
      <c r="L586" s="445">
        <f t="shared" si="16"/>
        <v>-60.80835667600374</v>
      </c>
      <c r="M586" s="445">
        <f t="shared" si="17"/>
        <v>-16.876283846872084</v>
      </c>
    </row>
    <row r="587" spans="1:13" s="437" customFormat="1" ht="15" thickBot="1" x14ac:dyDescent="0.35">
      <c r="A587" s="124" t="s">
        <v>181</v>
      </c>
      <c r="B587" s="632" t="s">
        <v>244</v>
      </c>
      <c r="C587" s="577" t="s">
        <v>1057</v>
      </c>
      <c r="D587" s="577" t="s">
        <v>1055</v>
      </c>
      <c r="E587" s="577">
        <v>18.256886087768439</v>
      </c>
      <c r="F587" s="577">
        <v>11.142623716153128</v>
      </c>
      <c r="G587" s="577">
        <v>81.875</v>
      </c>
      <c r="H587" s="577">
        <v>81.875</v>
      </c>
      <c r="I587" s="577">
        <v>63.618113912231564</v>
      </c>
      <c r="J587" s="577">
        <v>93.017623716153125</v>
      </c>
      <c r="K587" s="445">
        <f t="shared" si="15"/>
        <v>-18.125</v>
      </c>
      <c r="L587" s="445">
        <f t="shared" si="16"/>
        <v>-36.381886087768436</v>
      </c>
      <c r="M587" s="445">
        <f t="shared" si="17"/>
        <v>-6.9823762838468753</v>
      </c>
    </row>
    <row r="588" spans="1:13" s="437" customFormat="1" x14ac:dyDescent="0.3">
      <c r="A588" s="124" t="s">
        <v>181</v>
      </c>
      <c r="B588" s="631" t="s">
        <v>246</v>
      </c>
      <c r="C588" s="124" t="s">
        <v>1052</v>
      </c>
      <c r="D588" s="620" t="s">
        <v>1053</v>
      </c>
      <c r="E588" s="124">
        <v>17.361111111111111</v>
      </c>
      <c r="F588" s="124">
        <v>21.845238095238095</v>
      </c>
      <c r="G588" s="124">
        <v>51.875</v>
      </c>
      <c r="H588" s="124">
        <v>51.875</v>
      </c>
      <c r="I588" s="124">
        <v>34.513888888888886</v>
      </c>
      <c r="J588" s="124">
        <v>73.720238095238102</v>
      </c>
      <c r="K588" s="445">
        <f t="shared" si="15"/>
        <v>-48.125</v>
      </c>
      <c r="L588" s="445">
        <f t="shared" si="16"/>
        <v>-65.486111111111114</v>
      </c>
      <c r="M588" s="445">
        <f t="shared" si="17"/>
        <v>-26.279761904761898</v>
      </c>
    </row>
    <row r="589" spans="1:13" s="437" customFormat="1" x14ac:dyDescent="0.3">
      <c r="A589" s="124" t="s">
        <v>181</v>
      </c>
      <c r="B589" s="631" t="s">
        <v>246</v>
      </c>
      <c r="C589" s="146" t="s">
        <v>1056</v>
      </c>
      <c r="D589" s="620" t="s">
        <v>1053</v>
      </c>
      <c r="E589" s="124">
        <v>18.948412698412699</v>
      </c>
      <c r="F589" s="124">
        <v>14.950396825396826</v>
      </c>
      <c r="G589" s="124">
        <v>75.625</v>
      </c>
      <c r="H589" s="124">
        <v>75.625</v>
      </c>
      <c r="I589" s="124">
        <v>56.676587301587304</v>
      </c>
      <c r="J589" s="124">
        <v>90.575396825396822</v>
      </c>
      <c r="K589" s="445">
        <f t="shared" si="15"/>
        <v>-24.375</v>
      </c>
      <c r="L589" s="445">
        <f t="shared" si="16"/>
        <v>-43.323412698412696</v>
      </c>
      <c r="M589" s="445">
        <f t="shared" si="17"/>
        <v>-9.4246031746031775</v>
      </c>
    </row>
    <row r="590" spans="1:13" s="437" customFormat="1" x14ac:dyDescent="0.3">
      <c r="A590" s="124" t="s">
        <v>181</v>
      </c>
      <c r="B590" s="631" t="s">
        <v>246</v>
      </c>
      <c r="C590" s="146" t="s">
        <v>1057</v>
      </c>
      <c r="D590" s="620" t="s">
        <v>1053</v>
      </c>
      <c r="E590" s="124">
        <v>0</v>
      </c>
      <c r="F590" s="124">
        <v>0</v>
      </c>
      <c r="G590" s="124">
        <v>100</v>
      </c>
      <c r="H590" s="124">
        <v>100</v>
      </c>
      <c r="I590" s="124">
        <v>100</v>
      </c>
      <c r="J590" s="124">
        <v>100</v>
      </c>
      <c r="K590" s="445">
        <f t="shared" si="15"/>
        <v>0</v>
      </c>
      <c r="L590" s="445">
        <f t="shared" si="16"/>
        <v>0</v>
      </c>
      <c r="M590" s="445">
        <f t="shared" si="17"/>
        <v>0</v>
      </c>
    </row>
    <row r="591" spans="1:13" s="437" customFormat="1" x14ac:dyDescent="0.3">
      <c r="A591" s="124" t="s">
        <v>181</v>
      </c>
      <c r="B591" s="631" t="s">
        <v>246</v>
      </c>
      <c r="C591" s="146" t="s">
        <v>1052</v>
      </c>
      <c r="D591" s="620" t="s">
        <v>1054</v>
      </c>
      <c r="E591" s="146">
        <v>19.581232492997195</v>
      </c>
      <c r="F591" s="146">
        <v>29.381652661064422</v>
      </c>
      <c r="G591" s="146">
        <v>46.375</v>
      </c>
      <c r="H591" s="146">
        <v>46.375</v>
      </c>
      <c r="I591" s="146">
        <v>26.793767507002805</v>
      </c>
      <c r="J591" s="146">
        <v>75.756652661064422</v>
      </c>
      <c r="K591" s="445">
        <f t="shared" si="15"/>
        <v>-53.625</v>
      </c>
      <c r="L591" s="445">
        <f t="shared" si="16"/>
        <v>-73.206232492997202</v>
      </c>
      <c r="M591" s="445">
        <f t="shared" si="17"/>
        <v>-24.243347338935578</v>
      </c>
    </row>
    <row r="592" spans="1:13" s="437" customFormat="1" x14ac:dyDescent="0.3">
      <c r="A592" s="124" t="s">
        <v>181</v>
      </c>
      <c r="B592" s="631" t="s">
        <v>246</v>
      </c>
      <c r="C592" s="124" t="s">
        <v>1056</v>
      </c>
      <c r="D592" s="620" t="s">
        <v>1054</v>
      </c>
      <c r="E592" s="124">
        <v>16.351073762838467</v>
      </c>
      <c r="F592" s="124">
        <v>21.367880485527543</v>
      </c>
      <c r="G592" s="124">
        <v>66.125</v>
      </c>
      <c r="H592" s="124">
        <v>66.125</v>
      </c>
      <c r="I592" s="124">
        <v>49.773926237161533</v>
      </c>
      <c r="J592" s="124">
        <v>87.492880485527536</v>
      </c>
      <c r="K592" s="445">
        <f t="shared" si="15"/>
        <v>-33.875</v>
      </c>
      <c r="L592" s="445">
        <f t="shared" si="16"/>
        <v>-50.226073762838467</v>
      </c>
      <c r="M592" s="445">
        <f t="shared" si="17"/>
        <v>-12.507119514472464</v>
      </c>
    </row>
    <row r="593" spans="1:13" s="437" customFormat="1" x14ac:dyDescent="0.3">
      <c r="A593" s="124" t="s">
        <v>181</v>
      </c>
      <c r="B593" s="631" t="s">
        <v>246</v>
      </c>
      <c r="C593" s="124" t="s">
        <v>1057</v>
      </c>
      <c r="D593" s="620" t="s">
        <v>1054</v>
      </c>
      <c r="E593" s="124">
        <v>12.88293650793651</v>
      </c>
      <c r="F593" s="124">
        <v>3.1646825396825395</v>
      </c>
      <c r="G593" s="124">
        <v>98.25</v>
      </c>
      <c r="H593" s="124">
        <v>98.25</v>
      </c>
      <c r="I593" s="124">
        <v>85.367063492063494</v>
      </c>
      <c r="J593" s="124">
        <v>101.41468253968254</v>
      </c>
      <c r="K593" s="445">
        <f t="shared" si="15"/>
        <v>-1.75</v>
      </c>
      <c r="L593" s="445">
        <f t="shared" si="16"/>
        <v>-14.632936507936506</v>
      </c>
      <c r="M593" s="445">
        <f t="shared" si="17"/>
        <v>1.4146825396825449</v>
      </c>
    </row>
    <row r="594" spans="1:13" s="437" customFormat="1" x14ac:dyDescent="0.3">
      <c r="A594" s="124" t="s">
        <v>181</v>
      </c>
      <c r="B594" s="631" t="s">
        <v>246</v>
      </c>
      <c r="C594" s="124" t="s">
        <v>1052</v>
      </c>
      <c r="D594" s="620" t="s">
        <v>1055</v>
      </c>
      <c r="E594" s="124">
        <v>25.942226890756299</v>
      </c>
      <c r="F594" s="124">
        <v>32.313025210084035</v>
      </c>
      <c r="G594" s="124">
        <v>44.5</v>
      </c>
      <c r="H594" s="124">
        <v>44.5</v>
      </c>
      <c r="I594" s="124">
        <v>18.557773109243701</v>
      </c>
      <c r="J594" s="124">
        <v>76.813025210084035</v>
      </c>
      <c r="K594" s="445">
        <f t="shared" si="15"/>
        <v>-55.5</v>
      </c>
      <c r="L594" s="445">
        <f t="shared" si="16"/>
        <v>-81.442226890756302</v>
      </c>
      <c r="M594" s="445">
        <f t="shared" si="17"/>
        <v>-23.186974789915965</v>
      </c>
    </row>
    <row r="595" spans="1:13" s="437" customFormat="1" x14ac:dyDescent="0.3">
      <c r="A595" s="124" t="s">
        <v>181</v>
      </c>
      <c r="B595" s="631" t="s">
        <v>246</v>
      </c>
      <c r="C595" s="124" t="s">
        <v>1056</v>
      </c>
      <c r="D595" s="620" t="s">
        <v>1055</v>
      </c>
      <c r="E595" s="124">
        <v>17.403594771241828</v>
      </c>
      <c r="F595" s="124">
        <v>25.528478057889821</v>
      </c>
      <c r="G595" s="124">
        <v>61.5</v>
      </c>
      <c r="H595" s="124">
        <v>61.5</v>
      </c>
      <c r="I595" s="124">
        <v>44.096405228758172</v>
      </c>
      <c r="J595" s="124">
        <v>87.028478057889828</v>
      </c>
      <c r="K595" s="445">
        <f t="shared" si="15"/>
        <v>-38.5</v>
      </c>
      <c r="L595" s="445">
        <f t="shared" si="16"/>
        <v>-55.903594771241828</v>
      </c>
      <c r="M595" s="445">
        <f t="shared" si="17"/>
        <v>-12.971521942110172</v>
      </c>
    </row>
    <row r="596" spans="1:13" s="437" customFormat="1" ht="15" thickBot="1" x14ac:dyDescent="0.35">
      <c r="A596" s="124" t="s">
        <v>181</v>
      </c>
      <c r="B596" s="631" t="s">
        <v>246</v>
      </c>
      <c r="C596" s="146" t="s">
        <v>1057</v>
      </c>
      <c r="D596" s="620" t="s">
        <v>1055</v>
      </c>
      <c r="E596" s="146">
        <v>15.210084033613445</v>
      </c>
      <c r="F596" s="146">
        <v>6.9800420168067223</v>
      </c>
      <c r="G596" s="146">
        <v>90</v>
      </c>
      <c r="H596" s="146">
        <v>90</v>
      </c>
      <c r="I596" s="146">
        <v>74.789915966386559</v>
      </c>
      <c r="J596" s="146">
        <v>96.980042016806721</v>
      </c>
      <c r="K596" s="445">
        <f t="shared" si="15"/>
        <v>-10</v>
      </c>
      <c r="L596" s="445">
        <f t="shared" si="16"/>
        <v>-25.210084033613441</v>
      </c>
      <c r="M596" s="445">
        <f t="shared" si="17"/>
        <v>-3.0199579831932795</v>
      </c>
    </row>
    <row r="597" spans="1:13" s="437" customFormat="1" x14ac:dyDescent="0.3">
      <c r="A597" s="124" t="s">
        <v>181</v>
      </c>
      <c r="B597" s="630" t="s">
        <v>248</v>
      </c>
      <c r="C597" s="293" t="s">
        <v>1052</v>
      </c>
      <c r="D597" s="293" t="s">
        <v>1053</v>
      </c>
      <c r="E597" s="293">
        <v>17.214052287581698</v>
      </c>
      <c r="F597" s="293">
        <v>21.624649859943979</v>
      </c>
      <c r="G597" s="293">
        <v>51.875</v>
      </c>
      <c r="H597" s="293">
        <v>51.875</v>
      </c>
      <c r="I597" s="293">
        <v>34.660947712418306</v>
      </c>
      <c r="J597" s="293">
        <v>73.499649859943986</v>
      </c>
      <c r="K597" s="445">
        <f t="shared" si="15"/>
        <v>-48.125</v>
      </c>
      <c r="L597" s="445">
        <f t="shared" si="16"/>
        <v>-65.339052287581694</v>
      </c>
      <c r="M597" s="445">
        <f t="shared" si="17"/>
        <v>-26.500350140056014</v>
      </c>
    </row>
    <row r="598" spans="1:13" s="437" customFormat="1" x14ac:dyDescent="0.3">
      <c r="A598" s="124" t="s">
        <v>181</v>
      </c>
      <c r="B598" s="631" t="s">
        <v>248</v>
      </c>
      <c r="C598" s="146" t="s">
        <v>1056</v>
      </c>
      <c r="D598" s="146" t="s">
        <v>1053</v>
      </c>
      <c r="E598" s="124">
        <v>19.960317460317459</v>
      </c>
      <c r="F598" s="124">
        <v>14.394841269841269</v>
      </c>
      <c r="G598" s="124">
        <v>75.625</v>
      </c>
      <c r="H598" s="124">
        <v>75.625</v>
      </c>
      <c r="I598" s="124">
        <v>55.664682539682545</v>
      </c>
      <c r="J598" s="124">
        <v>90.019841269841265</v>
      </c>
      <c r="K598" s="445">
        <f t="shared" si="15"/>
        <v>-24.375</v>
      </c>
      <c r="L598" s="445">
        <f t="shared" si="16"/>
        <v>-44.335317460317455</v>
      </c>
      <c r="M598" s="445">
        <f t="shared" si="17"/>
        <v>-9.9801587301587347</v>
      </c>
    </row>
    <row r="599" spans="1:13" s="437" customFormat="1" x14ac:dyDescent="0.3">
      <c r="A599" s="124" t="s">
        <v>181</v>
      </c>
      <c r="B599" s="631" t="s">
        <v>248</v>
      </c>
      <c r="C599" s="146" t="s">
        <v>1057</v>
      </c>
      <c r="D599" s="146" t="s">
        <v>1053</v>
      </c>
      <c r="E599" s="124">
        <v>0</v>
      </c>
      <c r="F599" s="124">
        <v>0</v>
      </c>
      <c r="G599" s="124">
        <v>100</v>
      </c>
      <c r="H599" s="124">
        <v>100</v>
      </c>
      <c r="I599" s="124">
        <v>100</v>
      </c>
      <c r="J599" s="124">
        <v>100</v>
      </c>
      <c r="K599" s="445">
        <f t="shared" si="15"/>
        <v>0</v>
      </c>
      <c r="L599" s="445">
        <f t="shared" si="16"/>
        <v>0</v>
      </c>
      <c r="M599" s="445">
        <f t="shared" si="17"/>
        <v>0</v>
      </c>
    </row>
    <row r="600" spans="1:13" s="437" customFormat="1" x14ac:dyDescent="0.3">
      <c r="A600" s="124" t="s">
        <v>181</v>
      </c>
      <c r="B600" s="631" t="s">
        <v>248</v>
      </c>
      <c r="C600" s="124" t="s">
        <v>1052</v>
      </c>
      <c r="D600" s="146" t="s">
        <v>1054</v>
      </c>
      <c r="E600" s="124">
        <v>19.67647058823529</v>
      </c>
      <c r="F600" s="124">
        <v>29.381652661064422</v>
      </c>
      <c r="G600" s="124">
        <v>46.375</v>
      </c>
      <c r="H600" s="124">
        <v>46.375</v>
      </c>
      <c r="I600" s="124">
        <v>26.69852941176471</v>
      </c>
      <c r="J600" s="124">
        <v>75.756652661064422</v>
      </c>
      <c r="K600" s="445">
        <f t="shared" si="15"/>
        <v>-53.625</v>
      </c>
      <c r="L600" s="445">
        <f t="shared" si="16"/>
        <v>-73.30147058823529</v>
      </c>
      <c r="M600" s="445">
        <f t="shared" si="17"/>
        <v>-24.243347338935578</v>
      </c>
    </row>
    <row r="601" spans="1:13" s="437" customFormat="1" x14ac:dyDescent="0.3">
      <c r="A601" s="124" t="s">
        <v>181</v>
      </c>
      <c r="B601" s="631" t="s">
        <v>248</v>
      </c>
      <c r="C601" s="124" t="s">
        <v>1056</v>
      </c>
      <c r="D601" s="146" t="s">
        <v>1054</v>
      </c>
      <c r="E601" s="124">
        <v>16.815359477124183</v>
      </c>
      <c r="F601" s="124">
        <v>20.320261437908496</v>
      </c>
      <c r="G601" s="124">
        <v>66.125</v>
      </c>
      <c r="H601" s="124">
        <v>66.125</v>
      </c>
      <c r="I601" s="124">
        <v>49.309640522875817</v>
      </c>
      <c r="J601" s="124">
        <v>86.445261437908499</v>
      </c>
      <c r="K601" s="445">
        <f t="shared" si="15"/>
        <v>-33.875</v>
      </c>
      <c r="L601" s="445">
        <f t="shared" si="16"/>
        <v>-50.690359477124183</v>
      </c>
      <c r="M601" s="445">
        <f t="shared" si="17"/>
        <v>-13.554738562091501</v>
      </c>
    </row>
    <row r="602" spans="1:13" s="437" customFormat="1" x14ac:dyDescent="0.3">
      <c r="A602" s="124" t="s">
        <v>181</v>
      </c>
      <c r="B602" s="631" t="s">
        <v>248</v>
      </c>
      <c r="C602" s="124" t="s">
        <v>1057</v>
      </c>
      <c r="D602" s="124" t="s">
        <v>1054</v>
      </c>
      <c r="E602" s="124">
        <v>13.759920634920636</v>
      </c>
      <c r="F602" s="124">
        <v>4.0138888888888893</v>
      </c>
      <c r="G602" s="124">
        <v>96.625</v>
      </c>
      <c r="H602" s="124">
        <v>96.625</v>
      </c>
      <c r="I602" s="124">
        <v>82.865079365079367</v>
      </c>
      <c r="J602" s="124">
        <v>100.63888888888889</v>
      </c>
      <c r="K602" s="445">
        <f t="shared" si="15"/>
        <v>-3.375</v>
      </c>
      <c r="L602" s="445">
        <f t="shared" si="16"/>
        <v>-17.134920634920633</v>
      </c>
      <c r="M602" s="445">
        <f t="shared" si="17"/>
        <v>0.63888888888888573</v>
      </c>
    </row>
    <row r="603" spans="1:13" s="437" customFormat="1" x14ac:dyDescent="0.3">
      <c r="A603" s="124" t="s">
        <v>181</v>
      </c>
      <c r="B603" s="631" t="s">
        <v>248</v>
      </c>
      <c r="C603" s="124" t="s">
        <v>1052</v>
      </c>
      <c r="D603" s="124" t="s">
        <v>1055</v>
      </c>
      <c r="E603" s="124">
        <v>21.664449112978524</v>
      </c>
      <c r="F603" s="124">
        <v>31.416199813258636</v>
      </c>
      <c r="G603" s="124">
        <v>35.75</v>
      </c>
      <c r="H603" s="124">
        <v>35.75</v>
      </c>
      <c r="I603" s="124">
        <v>14.085550887021476</v>
      </c>
      <c r="J603" s="124">
        <v>67.166199813258629</v>
      </c>
      <c r="K603" s="445">
        <f t="shared" si="15"/>
        <v>-64.25</v>
      </c>
      <c r="L603" s="445">
        <f t="shared" si="16"/>
        <v>-85.914449112978531</v>
      </c>
      <c r="M603" s="445">
        <f t="shared" si="17"/>
        <v>-32.833800186741371</v>
      </c>
    </row>
    <row r="604" spans="1:13" s="437" customFormat="1" x14ac:dyDescent="0.3">
      <c r="A604" s="124" t="s">
        <v>181</v>
      </c>
      <c r="B604" s="631" t="s">
        <v>248</v>
      </c>
      <c r="C604" s="124" t="s">
        <v>1056</v>
      </c>
      <c r="D604" s="124" t="s">
        <v>1055</v>
      </c>
      <c r="E604" s="124">
        <v>18.558356676003736</v>
      </c>
      <c r="F604" s="124">
        <v>25.373716153127916</v>
      </c>
      <c r="G604" s="124">
        <v>57.75</v>
      </c>
      <c r="H604" s="124">
        <v>57.75</v>
      </c>
      <c r="I604" s="124">
        <v>39.19164332399626</v>
      </c>
      <c r="J604" s="124">
        <v>83.123716153127916</v>
      </c>
      <c r="K604" s="445">
        <f t="shared" si="15"/>
        <v>-42.25</v>
      </c>
      <c r="L604" s="445">
        <f t="shared" si="16"/>
        <v>-60.80835667600374</v>
      </c>
      <c r="M604" s="445">
        <f t="shared" si="17"/>
        <v>-16.876283846872084</v>
      </c>
    </row>
    <row r="605" spans="1:13" s="437" customFormat="1" ht="15" thickBot="1" x14ac:dyDescent="0.35">
      <c r="A605" s="124" t="s">
        <v>181</v>
      </c>
      <c r="B605" s="632" t="s">
        <v>248</v>
      </c>
      <c r="C605" s="577" t="s">
        <v>1057</v>
      </c>
      <c r="D605" s="577" t="s">
        <v>1055</v>
      </c>
      <c r="E605" s="577">
        <v>19.417600373482728</v>
      </c>
      <c r="F605" s="577">
        <v>10.517623716153128</v>
      </c>
      <c r="G605" s="577">
        <v>82.5</v>
      </c>
      <c r="H605" s="577">
        <v>82.5</v>
      </c>
      <c r="I605" s="577">
        <v>63.082399626517272</v>
      </c>
      <c r="J605" s="577">
        <v>93.017623716153125</v>
      </c>
      <c r="K605" s="445">
        <f t="shared" si="15"/>
        <v>-17.5</v>
      </c>
      <c r="L605" s="445">
        <f t="shared" si="16"/>
        <v>-36.917600373482728</v>
      </c>
      <c r="M605" s="445">
        <f t="shared" si="17"/>
        <v>-6.9823762838468753</v>
      </c>
    </row>
    <row r="606" spans="1:13" s="437" customFormat="1" x14ac:dyDescent="0.3">
      <c r="A606" s="124" t="s">
        <v>181</v>
      </c>
      <c r="B606" s="631" t="s">
        <v>250</v>
      </c>
      <c r="C606" s="124" t="s">
        <v>1052</v>
      </c>
      <c r="D606" s="620" t="s">
        <v>1053</v>
      </c>
      <c r="E606" s="124">
        <v>18.194444444444443</v>
      </c>
      <c r="F606" s="124">
        <v>19.603174603174601</v>
      </c>
      <c r="G606" s="124">
        <v>57.5</v>
      </c>
      <c r="H606" s="124">
        <v>57.5</v>
      </c>
      <c r="I606" s="124">
        <v>39.305555555555557</v>
      </c>
      <c r="J606" s="124">
        <v>77.103174603174608</v>
      </c>
      <c r="K606" s="445">
        <f t="shared" si="15"/>
        <v>-42.5</v>
      </c>
      <c r="L606" s="445">
        <f t="shared" si="16"/>
        <v>-60.694444444444443</v>
      </c>
      <c r="M606" s="445">
        <f t="shared" si="17"/>
        <v>-22.896825396825392</v>
      </c>
    </row>
    <row r="607" spans="1:13" s="437" customFormat="1" x14ac:dyDescent="0.3">
      <c r="A607" s="124" t="s">
        <v>181</v>
      </c>
      <c r="B607" s="631" t="s">
        <v>250</v>
      </c>
      <c r="C607" s="146" t="s">
        <v>1056</v>
      </c>
      <c r="D607" s="620" t="s">
        <v>1053</v>
      </c>
      <c r="E607" s="146">
        <v>21.706349206349202</v>
      </c>
      <c r="F607" s="146">
        <v>12.172619047619047</v>
      </c>
      <c r="G607" s="146">
        <v>83.125</v>
      </c>
      <c r="H607" s="146">
        <v>83.125</v>
      </c>
      <c r="I607" s="146">
        <v>61.418650793650798</v>
      </c>
      <c r="J607" s="146">
        <v>95.297619047619051</v>
      </c>
      <c r="K607" s="445">
        <f t="shared" si="15"/>
        <v>-16.875</v>
      </c>
      <c r="L607" s="445">
        <f t="shared" si="16"/>
        <v>-38.581349206349202</v>
      </c>
      <c r="M607" s="445">
        <f t="shared" si="17"/>
        <v>-4.702380952380949</v>
      </c>
    </row>
    <row r="608" spans="1:13" s="437" customFormat="1" x14ac:dyDescent="0.3">
      <c r="A608" s="124" t="s">
        <v>181</v>
      </c>
      <c r="B608" s="631" t="s">
        <v>250</v>
      </c>
      <c r="C608" s="146" t="s">
        <v>1057</v>
      </c>
      <c r="D608" s="620" t="s">
        <v>1053</v>
      </c>
      <c r="E608" s="124">
        <v>0</v>
      </c>
      <c r="F608" s="124">
        <v>0</v>
      </c>
      <c r="G608" s="124">
        <v>100</v>
      </c>
      <c r="H608" s="124">
        <v>100</v>
      </c>
      <c r="I608" s="124">
        <v>100</v>
      </c>
      <c r="J608" s="124">
        <v>100</v>
      </c>
      <c r="K608" s="445">
        <f t="shared" si="15"/>
        <v>0</v>
      </c>
      <c r="L608" s="445">
        <f t="shared" si="16"/>
        <v>0</v>
      </c>
      <c r="M608" s="445">
        <f t="shared" si="17"/>
        <v>0</v>
      </c>
    </row>
    <row r="609" spans="1:13" s="437" customFormat="1" x14ac:dyDescent="0.3">
      <c r="A609" s="124" t="s">
        <v>181</v>
      </c>
      <c r="B609" s="631" t="s">
        <v>250</v>
      </c>
      <c r="C609" s="146" t="s">
        <v>1052</v>
      </c>
      <c r="D609" s="620" t="s">
        <v>1054</v>
      </c>
      <c r="E609" s="146">
        <v>22.188375350140056</v>
      </c>
      <c r="F609" s="146">
        <v>26.453081232492995</v>
      </c>
      <c r="G609" s="146">
        <v>51.375</v>
      </c>
      <c r="H609" s="146">
        <v>51.375</v>
      </c>
      <c r="I609" s="146">
        <v>29.186624649859944</v>
      </c>
      <c r="J609" s="146">
        <v>77.828081232492991</v>
      </c>
      <c r="K609" s="445">
        <f t="shared" si="15"/>
        <v>-48.625</v>
      </c>
      <c r="L609" s="445">
        <f t="shared" si="16"/>
        <v>-70.813375350140063</v>
      </c>
      <c r="M609" s="445">
        <f t="shared" si="17"/>
        <v>-22.171918767507009</v>
      </c>
    </row>
    <row r="610" spans="1:13" s="437" customFormat="1" x14ac:dyDescent="0.3">
      <c r="A610" s="124" t="s">
        <v>181</v>
      </c>
      <c r="B610" s="631" t="s">
        <v>250</v>
      </c>
      <c r="C610" s="124" t="s">
        <v>1056</v>
      </c>
      <c r="D610" s="620" t="s">
        <v>1054</v>
      </c>
      <c r="E610" s="124">
        <v>19.136788048552756</v>
      </c>
      <c r="F610" s="124">
        <v>17.10597572362278</v>
      </c>
      <c r="G610" s="124">
        <v>77.375</v>
      </c>
      <c r="H610" s="124">
        <v>77.375</v>
      </c>
      <c r="I610" s="124">
        <v>58.238211951447241</v>
      </c>
      <c r="J610" s="124">
        <v>94.480975723622777</v>
      </c>
      <c r="K610" s="445">
        <f t="shared" si="15"/>
        <v>-22.625</v>
      </c>
      <c r="L610" s="445">
        <f t="shared" si="16"/>
        <v>-41.761788048552759</v>
      </c>
      <c r="M610" s="445">
        <f t="shared" si="17"/>
        <v>-5.5190242763772233</v>
      </c>
    </row>
    <row r="611" spans="1:13" s="437" customFormat="1" x14ac:dyDescent="0.3">
      <c r="A611" s="124" t="s">
        <v>181</v>
      </c>
      <c r="B611" s="631" t="s">
        <v>250</v>
      </c>
      <c r="C611" s="124" t="s">
        <v>1057</v>
      </c>
      <c r="D611" s="620" t="s">
        <v>1054</v>
      </c>
      <c r="E611" s="124">
        <v>11.112861811391223</v>
      </c>
      <c r="F611" s="124">
        <v>2.7638888888888888</v>
      </c>
      <c r="G611" s="124">
        <v>96.625</v>
      </c>
      <c r="H611" s="124">
        <v>96.625</v>
      </c>
      <c r="I611" s="124">
        <v>85.512138188608773</v>
      </c>
      <c r="J611" s="124">
        <v>99.388888888888886</v>
      </c>
      <c r="K611" s="445">
        <f t="shared" si="15"/>
        <v>-3.375</v>
      </c>
      <c r="L611" s="445">
        <f t="shared" si="16"/>
        <v>-14.487861811391227</v>
      </c>
      <c r="M611" s="445">
        <f t="shared" si="17"/>
        <v>-0.61111111111111427</v>
      </c>
    </row>
    <row r="612" spans="1:13" s="437" customFormat="1" x14ac:dyDescent="0.3">
      <c r="A612" s="124" t="s">
        <v>181</v>
      </c>
      <c r="B612" s="631" t="s">
        <v>250</v>
      </c>
      <c r="C612" s="124" t="s">
        <v>1052</v>
      </c>
      <c r="D612" s="620" t="s">
        <v>1055</v>
      </c>
      <c r="E612" s="124">
        <v>21.067226890756302</v>
      </c>
      <c r="F612" s="124">
        <v>30.188025210084035</v>
      </c>
      <c r="G612" s="124">
        <v>48.25</v>
      </c>
      <c r="H612" s="124">
        <v>48.25</v>
      </c>
      <c r="I612" s="124">
        <v>27.182773109243698</v>
      </c>
      <c r="J612" s="124">
        <v>78.438025210084035</v>
      </c>
      <c r="K612" s="445">
        <f t="shared" si="15"/>
        <v>-51.75</v>
      </c>
      <c r="L612" s="445">
        <f t="shared" si="16"/>
        <v>-72.817226890756302</v>
      </c>
      <c r="M612" s="445">
        <f t="shared" si="17"/>
        <v>-21.561974789915965</v>
      </c>
    </row>
    <row r="613" spans="1:13" s="437" customFormat="1" x14ac:dyDescent="0.3">
      <c r="A613" s="124" t="s">
        <v>181</v>
      </c>
      <c r="B613" s="631" t="s">
        <v>250</v>
      </c>
      <c r="C613" s="124" t="s">
        <v>1056</v>
      </c>
      <c r="D613" s="620" t="s">
        <v>1055</v>
      </c>
      <c r="E613" s="124">
        <v>14.034547152194211</v>
      </c>
      <c r="F613" s="124">
        <v>23.945144724556489</v>
      </c>
      <c r="G613" s="124">
        <v>69</v>
      </c>
      <c r="H613" s="124">
        <v>69</v>
      </c>
      <c r="I613" s="124">
        <v>54.965452847805793</v>
      </c>
      <c r="J613" s="124">
        <v>92.945144724556485</v>
      </c>
      <c r="K613" s="445">
        <f t="shared" si="15"/>
        <v>-31</v>
      </c>
      <c r="L613" s="445">
        <f t="shared" si="16"/>
        <v>-45.034547152194207</v>
      </c>
      <c r="M613" s="445">
        <f t="shared" si="17"/>
        <v>-7.054855275443515</v>
      </c>
    </row>
    <row r="614" spans="1:13" s="437" customFormat="1" ht="15" thickBot="1" x14ac:dyDescent="0.35">
      <c r="A614" s="124" t="s">
        <v>181</v>
      </c>
      <c r="B614" s="631" t="s">
        <v>250</v>
      </c>
      <c r="C614" s="146" t="s">
        <v>1057</v>
      </c>
      <c r="D614" s="620" t="s">
        <v>1055</v>
      </c>
      <c r="E614" s="146">
        <v>14.474789915966387</v>
      </c>
      <c r="F614" s="124">
        <v>8.1565126050420176</v>
      </c>
      <c r="G614" s="124">
        <v>86.25</v>
      </c>
      <c r="H614" s="124">
        <v>86.25</v>
      </c>
      <c r="I614" s="124">
        <v>71.775210084033617</v>
      </c>
      <c r="J614" s="124">
        <v>94.406512605042025</v>
      </c>
      <c r="K614" s="445">
        <f t="shared" si="15"/>
        <v>-13.75</v>
      </c>
      <c r="L614" s="445">
        <f t="shared" si="16"/>
        <v>-28.224789915966383</v>
      </c>
      <c r="M614" s="445">
        <f t="shared" si="17"/>
        <v>-5.5934873949579753</v>
      </c>
    </row>
    <row r="615" spans="1:13" s="437" customFormat="1" x14ac:dyDescent="0.3">
      <c r="A615" s="124" t="s">
        <v>181</v>
      </c>
      <c r="B615" s="630" t="s">
        <v>253</v>
      </c>
      <c r="C615" s="293" t="s">
        <v>1052</v>
      </c>
      <c r="D615" s="293" t="s">
        <v>1053</v>
      </c>
      <c r="E615" s="293">
        <v>17.025793650793652</v>
      </c>
      <c r="F615" s="293">
        <v>14.345238095238095</v>
      </c>
      <c r="G615" s="293">
        <v>70.375</v>
      </c>
      <c r="H615" s="293">
        <v>70.375</v>
      </c>
      <c r="I615" s="293">
        <v>53.349206349206348</v>
      </c>
      <c r="J615" s="293">
        <v>84.720238095238102</v>
      </c>
      <c r="K615" s="445">
        <f t="shared" si="15"/>
        <v>-29.625</v>
      </c>
      <c r="L615" s="445">
        <f t="shared" si="16"/>
        <v>-46.650793650793652</v>
      </c>
      <c r="M615" s="445">
        <f t="shared" si="17"/>
        <v>-15.279761904761898</v>
      </c>
    </row>
    <row r="616" spans="1:13" s="437" customFormat="1" x14ac:dyDescent="0.3">
      <c r="A616" s="124" t="s">
        <v>181</v>
      </c>
      <c r="B616" s="631" t="s">
        <v>253</v>
      </c>
      <c r="C616" s="146" t="s">
        <v>1056</v>
      </c>
      <c r="D616" s="124" t="s">
        <v>1053</v>
      </c>
      <c r="E616" s="124">
        <v>11.855158730158731</v>
      </c>
      <c r="F616" s="124">
        <v>12.162698412698411</v>
      </c>
      <c r="G616" s="124">
        <v>83.75</v>
      </c>
      <c r="H616" s="124">
        <v>83.75</v>
      </c>
      <c r="I616" s="124">
        <v>71.894841269841265</v>
      </c>
      <c r="J616" s="124">
        <v>95.912698412698404</v>
      </c>
      <c r="K616" s="445">
        <f t="shared" si="15"/>
        <v>-16.25</v>
      </c>
      <c r="L616" s="445">
        <f t="shared" si="16"/>
        <v>-28.105158730158735</v>
      </c>
      <c r="M616" s="445">
        <f t="shared" si="17"/>
        <v>-4.0873015873015959</v>
      </c>
    </row>
    <row r="617" spans="1:13" s="437" customFormat="1" x14ac:dyDescent="0.3">
      <c r="A617" s="124" t="s">
        <v>181</v>
      </c>
      <c r="B617" s="631" t="s">
        <v>253</v>
      </c>
      <c r="C617" s="146" t="s">
        <v>1057</v>
      </c>
      <c r="D617" s="146" t="s">
        <v>1053</v>
      </c>
      <c r="E617" s="124">
        <v>0</v>
      </c>
      <c r="F617" s="124">
        <v>0</v>
      </c>
      <c r="G617" s="124">
        <v>100</v>
      </c>
      <c r="H617" s="124">
        <v>100</v>
      </c>
      <c r="I617" s="124">
        <v>100</v>
      </c>
      <c r="J617" s="124">
        <v>100</v>
      </c>
      <c r="K617" s="445">
        <f t="shared" si="15"/>
        <v>0</v>
      </c>
      <c r="L617" s="445">
        <f t="shared" si="16"/>
        <v>0</v>
      </c>
      <c r="M617" s="445">
        <f t="shared" si="17"/>
        <v>0</v>
      </c>
    </row>
    <row r="618" spans="1:13" s="437" customFormat="1" x14ac:dyDescent="0.3">
      <c r="A618" s="124" t="s">
        <v>181</v>
      </c>
      <c r="B618" s="631" t="s">
        <v>253</v>
      </c>
      <c r="C618" s="124" t="s">
        <v>1052</v>
      </c>
      <c r="D618" s="124" t="s">
        <v>1054</v>
      </c>
      <c r="E618" s="124">
        <v>23.323295985060692</v>
      </c>
      <c r="F618" s="124">
        <v>17.10095704948646</v>
      </c>
      <c r="G618" s="124">
        <v>74.875</v>
      </c>
      <c r="H618" s="124">
        <v>74.875</v>
      </c>
      <c r="I618" s="124">
        <v>51.551704014939304</v>
      </c>
      <c r="J618" s="124">
        <v>91.975957049486453</v>
      </c>
      <c r="K618" s="445">
        <f t="shared" si="15"/>
        <v>-25.125</v>
      </c>
      <c r="L618" s="445">
        <f t="shared" si="16"/>
        <v>-48.448295985060696</v>
      </c>
      <c r="M618" s="445">
        <f t="shared" si="17"/>
        <v>-8.0240429505135467</v>
      </c>
    </row>
    <row r="619" spans="1:13" s="437" customFormat="1" x14ac:dyDescent="0.3">
      <c r="A619" s="124" t="s">
        <v>181</v>
      </c>
      <c r="B619" s="631" t="s">
        <v>253</v>
      </c>
      <c r="C619" s="124" t="s">
        <v>1056</v>
      </c>
      <c r="D619" s="124" t="s">
        <v>1054</v>
      </c>
      <c r="E619" s="124">
        <v>12.878851540616244</v>
      </c>
      <c r="F619" s="124">
        <v>11.831115779645192</v>
      </c>
      <c r="G619" s="124">
        <v>88.875</v>
      </c>
      <c r="H619" s="124">
        <v>88.875</v>
      </c>
      <c r="I619" s="124">
        <v>75.996148459383761</v>
      </c>
      <c r="J619" s="124">
        <v>100.70611577964519</v>
      </c>
      <c r="K619" s="445">
        <f t="shared" si="15"/>
        <v>-11.125</v>
      </c>
      <c r="L619" s="445">
        <f t="shared" si="16"/>
        <v>-24.003851540616239</v>
      </c>
      <c r="M619" s="445">
        <f t="shared" si="17"/>
        <v>0.70611577964518801</v>
      </c>
    </row>
    <row r="620" spans="1:13" s="437" customFormat="1" x14ac:dyDescent="0.3">
      <c r="A620" s="124" t="s">
        <v>181</v>
      </c>
      <c r="B620" s="631" t="s">
        <v>253</v>
      </c>
      <c r="C620" s="124" t="s">
        <v>1057</v>
      </c>
      <c r="D620" s="146" t="s">
        <v>1054</v>
      </c>
      <c r="E620" s="124">
        <v>9.3112745098039209</v>
      </c>
      <c r="F620" s="124">
        <v>4.9264705882352944</v>
      </c>
      <c r="G620" s="124">
        <v>97.75</v>
      </c>
      <c r="H620" s="124">
        <v>97.75</v>
      </c>
      <c r="I620" s="124">
        <v>88.438725490196077</v>
      </c>
      <c r="J620" s="124">
        <v>102.67647058823529</v>
      </c>
      <c r="K620" s="445">
        <f t="shared" si="15"/>
        <v>-2.25</v>
      </c>
      <c r="L620" s="445">
        <f t="shared" si="16"/>
        <v>-11.561274509803923</v>
      </c>
      <c r="M620" s="445">
        <f t="shared" si="17"/>
        <v>2.6764705882352899</v>
      </c>
    </row>
    <row r="621" spans="1:13" s="437" customFormat="1" x14ac:dyDescent="0.3">
      <c r="A621" s="124" t="s">
        <v>181</v>
      </c>
      <c r="B621" s="631" t="s">
        <v>253</v>
      </c>
      <c r="C621" s="146" t="s">
        <v>1052</v>
      </c>
      <c r="D621" s="124" t="s">
        <v>1055</v>
      </c>
      <c r="E621" s="146">
        <v>21.214169000933705</v>
      </c>
      <c r="F621" s="124">
        <v>13.86484593837535</v>
      </c>
      <c r="G621" s="124">
        <v>87.25</v>
      </c>
      <c r="H621" s="124">
        <v>87.25</v>
      </c>
      <c r="I621" s="124">
        <v>66.035830999066292</v>
      </c>
      <c r="J621" s="124">
        <v>101.11484593837535</v>
      </c>
      <c r="K621" s="445">
        <f t="shared" si="15"/>
        <v>-12.75</v>
      </c>
      <c r="L621" s="445">
        <f t="shared" si="16"/>
        <v>-33.964169000933708</v>
      </c>
      <c r="M621" s="445">
        <f t="shared" si="17"/>
        <v>1.1148459383753533</v>
      </c>
    </row>
    <row r="622" spans="1:13" s="437" customFormat="1" x14ac:dyDescent="0.3">
      <c r="A622" s="124" t="s">
        <v>181</v>
      </c>
      <c r="B622" s="631" t="s">
        <v>253</v>
      </c>
      <c r="C622" s="146" t="s">
        <v>1056</v>
      </c>
      <c r="D622" s="146" t="s">
        <v>1055</v>
      </c>
      <c r="E622" s="146">
        <v>17.518674136321195</v>
      </c>
      <c r="F622" s="146">
        <v>8.1258169934640527</v>
      </c>
      <c r="G622" s="146">
        <v>95</v>
      </c>
      <c r="H622" s="146">
        <v>95</v>
      </c>
      <c r="I622" s="146">
        <v>77.481325863678805</v>
      </c>
      <c r="J622" s="146">
        <v>103.12581699346406</v>
      </c>
      <c r="K622" s="445">
        <f t="shared" si="15"/>
        <v>-5</v>
      </c>
      <c r="L622" s="445">
        <f t="shared" si="16"/>
        <v>-22.518674136321195</v>
      </c>
      <c r="M622" s="445">
        <f t="shared" si="17"/>
        <v>3.1258169934640563</v>
      </c>
    </row>
    <row r="623" spans="1:13" s="437" customFormat="1" ht="15" thickBot="1" x14ac:dyDescent="0.35">
      <c r="A623" s="124" t="s">
        <v>181</v>
      </c>
      <c r="B623" s="632" t="s">
        <v>253</v>
      </c>
      <c r="C623" s="577" t="s">
        <v>1057</v>
      </c>
      <c r="D623" s="577" t="s">
        <v>1055</v>
      </c>
      <c r="E623" s="577">
        <v>13.089052287581699</v>
      </c>
      <c r="F623" s="577">
        <v>6.4125816993464051</v>
      </c>
      <c r="G623" s="577">
        <v>97.125</v>
      </c>
      <c r="H623" s="577">
        <v>97.125</v>
      </c>
      <c r="I623" s="577">
        <v>84.035947712418306</v>
      </c>
      <c r="J623" s="577">
        <v>103.5375816993464</v>
      </c>
      <c r="K623" s="445">
        <f t="shared" si="15"/>
        <v>-2.875</v>
      </c>
      <c r="L623" s="445">
        <f t="shared" si="16"/>
        <v>-15.964052287581694</v>
      </c>
      <c r="M623" s="445">
        <f t="shared" si="17"/>
        <v>3.5375816993464042</v>
      </c>
    </row>
    <row r="624" spans="1:13" s="437" customFormat="1" x14ac:dyDescent="0.3">
      <c r="A624" s="124" t="s">
        <v>181</v>
      </c>
      <c r="B624" s="631" t="s">
        <v>255</v>
      </c>
      <c r="C624" s="124" t="s">
        <v>1052</v>
      </c>
      <c r="D624" s="620" t="s">
        <v>1053</v>
      </c>
      <c r="E624" s="124">
        <v>25.365079365079364</v>
      </c>
      <c r="F624" s="124">
        <v>14.734126984126982</v>
      </c>
      <c r="G624" s="124">
        <v>63.5</v>
      </c>
      <c r="H624" s="124">
        <v>63.5</v>
      </c>
      <c r="I624" s="124">
        <v>38.134920634920633</v>
      </c>
      <c r="J624" s="124">
        <v>78.234126984126988</v>
      </c>
      <c r="K624" s="445">
        <f t="shared" si="15"/>
        <v>-36.5</v>
      </c>
      <c r="L624" s="445">
        <f t="shared" si="16"/>
        <v>-61.865079365079367</v>
      </c>
      <c r="M624" s="445">
        <f t="shared" si="17"/>
        <v>-21.765873015873012</v>
      </c>
    </row>
    <row r="625" spans="1:13" s="437" customFormat="1" x14ac:dyDescent="0.3">
      <c r="A625" s="124" t="s">
        <v>181</v>
      </c>
      <c r="B625" s="631" t="s">
        <v>255</v>
      </c>
      <c r="C625" s="146" t="s">
        <v>1056</v>
      </c>
      <c r="D625" s="620" t="s">
        <v>1053</v>
      </c>
      <c r="E625" s="124">
        <v>13.291316526610645</v>
      </c>
      <c r="F625" s="124">
        <v>9.2635387488328664</v>
      </c>
      <c r="G625" s="124">
        <v>76.875</v>
      </c>
      <c r="H625" s="124">
        <v>76.875</v>
      </c>
      <c r="I625" s="124">
        <v>63.583683473389357</v>
      </c>
      <c r="J625" s="124">
        <v>86.138538748832872</v>
      </c>
      <c r="K625" s="445">
        <f t="shared" si="15"/>
        <v>-23.125</v>
      </c>
      <c r="L625" s="445">
        <f t="shared" si="16"/>
        <v>-36.416316526610643</v>
      </c>
      <c r="M625" s="445">
        <f t="shared" si="17"/>
        <v>-13.861461251167128</v>
      </c>
    </row>
    <row r="626" spans="1:13" s="437" customFormat="1" x14ac:dyDescent="0.3">
      <c r="A626" s="124" t="s">
        <v>181</v>
      </c>
      <c r="B626" s="631" t="s">
        <v>255</v>
      </c>
      <c r="C626" s="146" t="s">
        <v>1057</v>
      </c>
      <c r="D626" s="620" t="s">
        <v>1053</v>
      </c>
      <c r="E626" s="124">
        <v>0</v>
      </c>
      <c r="F626" s="124">
        <v>0</v>
      </c>
      <c r="G626" s="124">
        <v>100</v>
      </c>
      <c r="H626" s="124">
        <v>100</v>
      </c>
      <c r="I626" s="124">
        <v>100</v>
      </c>
      <c r="J626" s="124">
        <v>100</v>
      </c>
      <c r="K626" s="445">
        <f t="shared" si="15"/>
        <v>0</v>
      </c>
      <c r="L626" s="445">
        <f t="shared" si="16"/>
        <v>0</v>
      </c>
      <c r="M626" s="445">
        <f t="shared" si="17"/>
        <v>0</v>
      </c>
    </row>
    <row r="627" spans="1:13" s="437" customFormat="1" x14ac:dyDescent="0.3">
      <c r="A627" s="124" t="s">
        <v>181</v>
      </c>
      <c r="B627" s="631" t="s">
        <v>255</v>
      </c>
      <c r="C627" s="146" t="s">
        <v>1052</v>
      </c>
      <c r="D627" s="620" t="s">
        <v>1054</v>
      </c>
      <c r="E627" s="124">
        <v>23.089285714285715</v>
      </c>
      <c r="F627" s="124">
        <v>18.607142857142858</v>
      </c>
      <c r="G627" s="124">
        <v>62.375</v>
      </c>
      <c r="H627" s="124">
        <v>62.375</v>
      </c>
      <c r="I627" s="124">
        <v>39.285714285714285</v>
      </c>
      <c r="J627" s="124">
        <v>80.982142857142861</v>
      </c>
      <c r="K627" s="445">
        <f t="shared" si="15"/>
        <v>-37.625</v>
      </c>
      <c r="L627" s="445">
        <f t="shared" si="16"/>
        <v>-60.714285714285715</v>
      </c>
      <c r="M627" s="445">
        <f t="shared" si="17"/>
        <v>-19.017857142857139</v>
      </c>
    </row>
    <row r="628" spans="1:13" s="437" customFormat="1" x14ac:dyDescent="0.3">
      <c r="A628" s="124" t="s">
        <v>181</v>
      </c>
      <c r="B628" s="631" t="s">
        <v>255</v>
      </c>
      <c r="C628" s="146" t="s">
        <v>1056</v>
      </c>
      <c r="D628" s="620" t="s">
        <v>1054</v>
      </c>
      <c r="E628" s="146">
        <v>19.69047619047619</v>
      </c>
      <c r="F628" s="146">
        <v>12.412698412698411</v>
      </c>
      <c r="G628" s="146">
        <v>76.625</v>
      </c>
      <c r="H628" s="146">
        <v>76.625</v>
      </c>
      <c r="I628" s="146">
        <v>56.93452380952381</v>
      </c>
      <c r="J628" s="146">
        <v>89.037698412698404</v>
      </c>
      <c r="K628" s="445">
        <f t="shared" si="15"/>
        <v>-23.375</v>
      </c>
      <c r="L628" s="445">
        <f t="shared" si="16"/>
        <v>-43.06547619047619</v>
      </c>
      <c r="M628" s="445">
        <f t="shared" si="17"/>
        <v>-10.962301587301596</v>
      </c>
    </row>
    <row r="629" spans="1:13" s="437" customFormat="1" x14ac:dyDescent="0.3">
      <c r="A629" s="124" t="s">
        <v>181</v>
      </c>
      <c r="B629" s="631" t="s">
        <v>255</v>
      </c>
      <c r="C629" s="146" t="s">
        <v>1057</v>
      </c>
      <c r="D629" s="620" t="s">
        <v>1054</v>
      </c>
      <c r="E629" s="146">
        <v>10.359126984126984</v>
      </c>
      <c r="F629" s="146">
        <v>6.5595238095238084</v>
      </c>
      <c r="G629" s="146">
        <v>96.25</v>
      </c>
      <c r="H629" s="146">
        <v>96.25</v>
      </c>
      <c r="I629" s="146">
        <v>85.890873015873012</v>
      </c>
      <c r="J629" s="146">
        <v>102.80952380952381</v>
      </c>
      <c r="K629" s="445">
        <f t="shared" si="15"/>
        <v>-3.75</v>
      </c>
      <c r="L629" s="445">
        <f t="shared" si="16"/>
        <v>-14.109126984126988</v>
      </c>
      <c r="M629" s="445">
        <f t="shared" si="17"/>
        <v>2.8095238095238102</v>
      </c>
    </row>
    <row r="630" spans="1:13" s="437" customFormat="1" x14ac:dyDescent="0.3">
      <c r="A630" s="124" t="s">
        <v>181</v>
      </c>
      <c r="B630" s="631" t="s">
        <v>255</v>
      </c>
      <c r="C630" s="124" t="s">
        <v>1052</v>
      </c>
      <c r="D630" s="620" t="s">
        <v>1055</v>
      </c>
      <c r="E630" s="124">
        <v>26.436507936507937</v>
      </c>
      <c r="F630" s="124">
        <v>17.771825396825395</v>
      </c>
      <c r="G630" s="124">
        <v>73.5</v>
      </c>
      <c r="H630" s="124">
        <v>73.5</v>
      </c>
      <c r="I630" s="124">
        <v>47.063492063492063</v>
      </c>
      <c r="J630" s="124">
        <v>91.271825396825392</v>
      </c>
      <c r="K630" s="445">
        <f t="shared" si="15"/>
        <v>-26.5</v>
      </c>
      <c r="L630" s="445">
        <f t="shared" si="16"/>
        <v>-52.936507936507937</v>
      </c>
      <c r="M630" s="445">
        <f t="shared" si="17"/>
        <v>-8.7281746031746081</v>
      </c>
    </row>
    <row r="631" spans="1:13" s="437" customFormat="1" x14ac:dyDescent="0.3">
      <c r="A631" s="124" t="s">
        <v>181</v>
      </c>
      <c r="B631" s="631" t="s">
        <v>255</v>
      </c>
      <c r="C631" s="146" t="s">
        <v>1056</v>
      </c>
      <c r="D631" s="620" t="s">
        <v>1055</v>
      </c>
      <c r="E631" s="146">
        <v>22.438492063492063</v>
      </c>
      <c r="F631" s="146">
        <v>12.077380952380953</v>
      </c>
      <c r="G631" s="146">
        <v>81</v>
      </c>
      <c r="H631" s="146">
        <v>81</v>
      </c>
      <c r="I631" s="146">
        <v>58.561507936507937</v>
      </c>
      <c r="J631" s="146">
        <v>93.077380952380949</v>
      </c>
      <c r="K631" s="445">
        <f t="shared" si="15"/>
        <v>-19</v>
      </c>
      <c r="L631" s="445">
        <f t="shared" si="16"/>
        <v>-41.438492063492063</v>
      </c>
      <c r="M631" s="445">
        <f t="shared" si="17"/>
        <v>-6.922619047619051</v>
      </c>
    </row>
    <row r="632" spans="1:13" s="437" customFormat="1" ht="15" thickBot="1" x14ac:dyDescent="0.35">
      <c r="A632" s="124" t="s">
        <v>181</v>
      </c>
      <c r="B632" s="631" t="s">
        <v>255</v>
      </c>
      <c r="C632" s="146" t="s">
        <v>1057</v>
      </c>
      <c r="D632" s="620" t="s">
        <v>1055</v>
      </c>
      <c r="E632" s="146">
        <v>15.148809523809522</v>
      </c>
      <c r="F632" s="124">
        <v>8.8988095238095219</v>
      </c>
      <c r="G632" s="124">
        <v>94.375</v>
      </c>
      <c r="H632" s="124">
        <v>94.375</v>
      </c>
      <c r="I632" s="124">
        <v>79.226190476190482</v>
      </c>
      <c r="J632" s="124">
        <v>103.27380952380952</v>
      </c>
      <c r="K632" s="445">
        <f t="shared" si="15"/>
        <v>-5.625</v>
      </c>
      <c r="L632" s="445">
        <f t="shared" si="16"/>
        <v>-20.773809523809518</v>
      </c>
      <c r="M632" s="445">
        <f t="shared" si="17"/>
        <v>3.2738095238095184</v>
      </c>
    </row>
    <row r="633" spans="1:13" s="437" customFormat="1" x14ac:dyDescent="0.3">
      <c r="A633" s="124" t="s">
        <v>181</v>
      </c>
      <c r="B633" s="630" t="s">
        <v>258</v>
      </c>
      <c r="C633" s="293" t="s">
        <v>1052</v>
      </c>
      <c r="D633" s="623" t="s">
        <v>1053</v>
      </c>
      <c r="E633" s="293">
        <v>22.433862433862437</v>
      </c>
      <c r="F633" s="293">
        <v>18.633156966490297</v>
      </c>
      <c r="G633" s="293">
        <v>42.777777777777779</v>
      </c>
      <c r="H633" s="293">
        <v>42.777777777777779</v>
      </c>
      <c r="I633" s="293">
        <v>20.343915343915342</v>
      </c>
      <c r="J633" s="293">
        <v>61.410934744268076</v>
      </c>
      <c r="K633" s="445">
        <f t="shared" si="15"/>
        <v>-57.222222222222221</v>
      </c>
      <c r="L633" s="445">
        <f t="shared" si="16"/>
        <v>-79.656084656084658</v>
      </c>
      <c r="M633" s="445">
        <f t="shared" si="17"/>
        <v>-38.589065255731924</v>
      </c>
    </row>
    <row r="634" spans="1:13" s="437" customFormat="1" x14ac:dyDescent="0.3">
      <c r="A634" s="124" t="s">
        <v>181</v>
      </c>
      <c r="B634" s="631" t="s">
        <v>258</v>
      </c>
      <c r="C634" s="146" t="s">
        <v>1056</v>
      </c>
      <c r="D634" s="620" t="s">
        <v>1053</v>
      </c>
      <c r="E634" s="124">
        <v>18.659611992945326</v>
      </c>
      <c r="F634" s="124">
        <v>15.537918871252202</v>
      </c>
      <c r="G634" s="124">
        <v>68.888888888888886</v>
      </c>
      <c r="H634" s="124">
        <v>68.888888888888886</v>
      </c>
      <c r="I634" s="124">
        <v>50.229276895943556</v>
      </c>
      <c r="J634" s="124">
        <v>84.426807760141088</v>
      </c>
      <c r="K634" s="445">
        <f t="shared" si="15"/>
        <v>-31.111111111111114</v>
      </c>
      <c r="L634" s="445">
        <f t="shared" si="16"/>
        <v>-49.770723104056444</v>
      </c>
      <c r="M634" s="445">
        <f t="shared" si="17"/>
        <v>-15.573192239858912</v>
      </c>
    </row>
    <row r="635" spans="1:13" s="437" customFormat="1" x14ac:dyDescent="0.3">
      <c r="A635" s="124" t="s">
        <v>181</v>
      </c>
      <c r="B635" s="631" t="s">
        <v>258</v>
      </c>
      <c r="C635" s="146" t="s">
        <v>1057</v>
      </c>
      <c r="D635" s="620" t="s">
        <v>1053</v>
      </c>
      <c r="E635" s="124">
        <v>0</v>
      </c>
      <c r="F635" s="124">
        <v>0</v>
      </c>
      <c r="G635" s="124">
        <v>100</v>
      </c>
      <c r="H635" s="124">
        <v>100</v>
      </c>
      <c r="I635" s="124">
        <v>100</v>
      </c>
      <c r="J635" s="124">
        <v>100</v>
      </c>
      <c r="K635" s="445">
        <f t="shared" si="15"/>
        <v>0</v>
      </c>
      <c r="L635" s="445">
        <f t="shared" si="16"/>
        <v>0</v>
      </c>
      <c r="M635" s="445">
        <f t="shared" si="17"/>
        <v>0</v>
      </c>
    </row>
    <row r="636" spans="1:13" s="437" customFormat="1" x14ac:dyDescent="0.3">
      <c r="A636" s="124" t="s">
        <v>181</v>
      </c>
      <c r="B636" s="631" t="s">
        <v>258</v>
      </c>
      <c r="C636" s="146" t="s">
        <v>1052</v>
      </c>
      <c r="D636" s="620" t="s">
        <v>1054</v>
      </c>
      <c r="E636" s="124">
        <v>28.068783068783066</v>
      </c>
      <c r="F636" s="124">
        <v>20.679012345679013</v>
      </c>
      <c r="G636" s="124">
        <v>41.666666666666664</v>
      </c>
      <c r="H636" s="124">
        <v>41.666666666666664</v>
      </c>
      <c r="I636" s="124">
        <v>13.597883597883598</v>
      </c>
      <c r="J636" s="124">
        <v>62.345679012345677</v>
      </c>
      <c r="K636" s="445">
        <f t="shared" si="15"/>
        <v>-58.333333333333336</v>
      </c>
      <c r="L636" s="445">
        <f t="shared" si="16"/>
        <v>-86.402116402116405</v>
      </c>
      <c r="M636" s="445">
        <f t="shared" si="17"/>
        <v>-37.654320987654323</v>
      </c>
    </row>
    <row r="637" spans="1:13" s="437" customFormat="1" x14ac:dyDescent="0.3">
      <c r="A637" s="124" t="s">
        <v>181</v>
      </c>
      <c r="B637" s="631" t="s">
        <v>258</v>
      </c>
      <c r="C637" s="146" t="s">
        <v>1056</v>
      </c>
      <c r="D637" s="620" t="s">
        <v>1054</v>
      </c>
      <c r="E637" s="124">
        <v>27.008299616142754</v>
      </c>
      <c r="F637" s="124">
        <v>21.308434484905074</v>
      </c>
      <c r="G637" s="124">
        <v>63.666666666666664</v>
      </c>
      <c r="H637" s="124">
        <v>63.666666666666664</v>
      </c>
      <c r="I637" s="124">
        <v>36.658367050523907</v>
      </c>
      <c r="J637" s="124">
        <v>84.975101151571735</v>
      </c>
      <c r="K637" s="445">
        <f t="shared" si="15"/>
        <v>-36.333333333333336</v>
      </c>
      <c r="L637" s="445">
        <f t="shared" si="16"/>
        <v>-63.341632949476093</v>
      </c>
      <c r="M637" s="445">
        <f t="shared" si="17"/>
        <v>-15.024898848428265</v>
      </c>
    </row>
    <row r="638" spans="1:13" s="437" customFormat="1" x14ac:dyDescent="0.3">
      <c r="A638" s="124" t="s">
        <v>181</v>
      </c>
      <c r="B638" s="631" t="s">
        <v>258</v>
      </c>
      <c r="C638" s="124" t="s">
        <v>1057</v>
      </c>
      <c r="D638" s="620" t="s">
        <v>1054</v>
      </c>
      <c r="E638" s="124">
        <v>36.358210340666481</v>
      </c>
      <c r="F638" s="124">
        <v>9.3096630465051522</v>
      </c>
      <c r="G638" s="124">
        <v>91.333333333333329</v>
      </c>
      <c r="H638" s="124">
        <v>91.333333333333329</v>
      </c>
      <c r="I638" s="124">
        <v>54.975122992666847</v>
      </c>
      <c r="J638" s="124">
        <v>100.64299637983848</v>
      </c>
      <c r="K638" s="445">
        <f t="shared" si="15"/>
        <v>-8.6666666666666714</v>
      </c>
      <c r="L638" s="445">
        <f t="shared" si="16"/>
        <v>-45.024877007333153</v>
      </c>
      <c r="M638" s="445">
        <f t="shared" si="17"/>
        <v>0.64299637983847902</v>
      </c>
    </row>
    <row r="639" spans="1:13" s="437" customFormat="1" x14ac:dyDescent="0.3">
      <c r="A639" s="124" t="s">
        <v>181</v>
      </c>
      <c r="B639" s="631" t="s">
        <v>258</v>
      </c>
      <c r="C639" s="124" t="s">
        <v>1052</v>
      </c>
      <c r="D639" s="620" t="s">
        <v>1055</v>
      </c>
      <c r="E639" s="124">
        <v>26.87830687830688</v>
      </c>
      <c r="F639" s="124">
        <v>19.934744268077605</v>
      </c>
      <c r="G639" s="124">
        <v>38.888888888888886</v>
      </c>
      <c r="H639" s="124">
        <v>38.888888888888886</v>
      </c>
      <c r="I639" s="124">
        <v>12.010582010582006</v>
      </c>
      <c r="J639" s="124">
        <v>58.823633156966494</v>
      </c>
      <c r="K639" s="445">
        <f t="shared" ref="K639:K702" si="18">0-(100-H639)</f>
        <v>-61.111111111111114</v>
      </c>
      <c r="L639" s="445">
        <f t="shared" ref="L639:L702" si="19">0-(100-I639)</f>
        <v>-87.989417989418001</v>
      </c>
      <c r="M639" s="445">
        <f t="shared" ref="M639:M702" si="20">0-(100-J639)</f>
        <v>-41.176366843033506</v>
      </c>
    </row>
    <row r="640" spans="1:13" s="437" customFormat="1" x14ac:dyDescent="0.3">
      <c r="A640" s="124" t="s">
        <v>181</v>
      </c>
      <c r="B640" s="631" t="s">
        <v>258</v>
      </c>
      <c r="C640" s="124" t="s">
        <v>1056</v>
      </c>
      <c r="D640" s="620" t="s">
        <v>1055</v>
      </c>
      <c r="E640" s="124">
        <v>28.26278659611993</v>
      </c>
      <c r="F640" s="124">
        <v>22.689594356261022</v>
      </c>
      <c r="G640" s="124">
        <v>54.444444444444443</v>
      </c>
      <c r="H640" s="124">
        <v>54.444444444444443</v>
      </c>
      <c r="I640" s="124">
        <v>26.181657848324512</v>
      </c>
      <c r="J640" s="124">
        <v>77.134038800705468</v>
      </c>
      <c r="K640" s="445">
        <f t="shared" si="18"/>
        <v>-45.555555555555557</v>
      </c>
      <c r="L640" s="445">
        <f t="shared" si="19"/>
        <v>-73.818342151675495</v>
      </c>
      <c r="M640" s="445">
        <f t="shared" si="20"/>
        <v>-22.865961199294532</v>
      </c>
    </row>
    <row r="641" spans="1:13" s="437" customFormat="1" ht="15" thickBot="1" x14ac:dyDescent="0.35">
      <c r="A641" s="124" t="s">
        <v>181</v>
      </c>
      <c r="B641" s="632" t="s">
        <v>258</v>
      </c>
      <c r="C641" s="577" t="s">
        <v>1057</v>
      </c>
      <c r="D641" s="627" t="s">
        <v>1055</v>
      </c>
      <c r="E641" s="577">
        <v>36.315489158626406</v>
      </c>
      <c r="F641" s="577">
        <v>16.174395684199606</v>
      </c>
      <c r="G641" s="577">
        <v>75.555555555555557</v>
      </c>
      <c r="H641" s="577">
        <v>75.555555555555557</v>
      </c>
      <c r="I641" s="577">
        <v>39.240066396929151</v>
      </c>
      <c r="J641" s="577">
        <v>91.729951239755167</v>
      </c>
      <c r="K641" s="445">
        <f t="shared" si="18"/>
        <v>-24.444444444444443</v>
      </c>
      <c r="L641" s="445">
        <f t="shared" si="19"/>
        <v>-60.759933603070849</v>
      </c>
      <c r="M641" s="445">
        <f t="shared" si="20"/>
        <v>-8.2700487602448334</v>
      </c>
    </row>
    <row r="642" spans="1:13" s="437" customFormat="1" x14ac:dyDescent="0.3">
      <c r="A642" s="124" t="s">
        <v>181</v>
      </c>
      <c r="B642" s="631" t="s">
        <v>261</v>
      </c>
      <c r="C642" s="124" t="s">
        <v>1052</v>
      </c>
      <c r="D642" s="124" t="s">
        <v>1053</v>
      </c>
      <c r="E642" s="124">
        <v>22.116402116402114</v>
      </c>
      <c r="F642" s="124">
        <v>18.315696649029981</v>
      </c>
      <c r="G642" s="124">
        <v>42.777777777777779</v>
      </c>
      <c r="H642" s="124">
        <v>42.777777777777779</v>
      </c>
      <c r="I642" s="124">
        <v>20.661375661375665</v>
      </c>
      <c r="J642" s="124">
        <v>61.093474426807759</v>
      </c>
      <c r="K642" s="445">
        <f t="shared" si="18"/>
        <v>-57.222222222222221</v>
      </c>
      <c r="L642" s="445">
        <f t="shared" si="19"/>
        <v>-79.338624338624328</v>
      </c>
      <c r="M642" s="445">
        <f t="shared" si="20"/>
        <v>-38.906525573192241</v>
      </c>
    </row>
    <row r="643" spans="1:13" s="437" customFormat="1" x14ac:dyDescent="0.3">
      <c r="A643" s="124" t="s">
        <v>181</v>
      </c>
      <c r="B643" s="631" t="s">
        <v>261</v>
      </c>
      <c r="C643" s="146" t="s">
        <v>1056</v>
      </c>
      <c r="D643" s="146" t="s">
        <v>1053</v>
      </c>
      <c r="E643" s="124">
        <v>19.77072310405644</v>
      </c>
      <c r="F643" s="124">
        <v>15.537918871252202</v>
      </c>
      <c r="G643" s="124">
        <v>68.888888888888886</v>
      </c>
      <c r="H643" s="124">
        <v>68.888888888888886</v>
      </c>
      <c r="I643" s="124">
        <v>49.118165784832442</v>
      </c>
      <c r="J643" s="124">
        <v>84.426807760141088</v>
      </c>
      <c r="K643" s="445">
        <f t="shared" si="18"/>
        <v>-31.111111111111114</v>
      </c>
      <c r="L643" s="445">
        <f t="shared" si="19"/>
        <v>-50.881834215167558</v>
      </c>
      <c r="M643" s="445">
        <f t="shared" si="20"/>
        <v>-15.573192239858912</v>
      </c>
    </row>
    <row r="644" spans="1:13" s="437" customFormat="1" x14ac:dyDescent="0.3">
      <c r="A644" s="124" t="s">
        <v>181</v>
      </c>
      <c r="B644" s="631" t="s">
        <v>261</v>
      </c>
      <c r="C644" s="146" t="s">
        <v>1057</v>
      </c>
      <c r="D644" s="146" t="s">
        <v>1053</v>
      </c>
      <c r="E644" s="124">
        <v>0</v>
      </c>
      <c r="F644" s="124">
        <v>0</v>
      </c>
      <c r="G644" s="124">
        <v>100</v>
      </c>
      <c r="H644" s="146">
        <v>100</v>
      </c>
      <c r="I644" s="146">
        <v>100</v>
      </c>
      <c r="J644" s="146">
        <v>100</v>
      </c>
      <c r="K644" s="445">
        <f t="shared" si="18"/>
        <v>0</v>
      </c>
      <c r="L644" s="445">
        <f t="shared" si="19"/>
        <v>0</v>
      </c>
      <c r="M644" s="445">
        <f t="shared" si="20"/>
        <v>0</v>
      </c>
    </row>
    <row r="645" spans="1:13" s="437" customFormat="1" x14ac:dyDescent="0.3">
      <c r="A645" s="124" t="s">
        <v>181</v>
      </c>
      <c r="B645" s="631" t="s">
        <v>261</v>
      </c>
      <c r="C645" s="146" t="s">
        <v>1052</v>
      </c>
      <c r="D645" s="146" t="s">
        <v>1054</v>
      </c>
      <c r="E645" s="124">
        <v>26.640211640211632</v>
      </c>
      <c r="F645" s="124">
        <v>22.583774250440914</v>
      </c>
      <c r="G645" s="124">
        <v>42.777777777777779</v>
      </c>
      <c r="H645" s="124">
        <v>42.777777777777779</v>
      </c>
      <c r="I645" s="124">
        <v>16.137566137566147</v>
      </c>
      <c r="J645" s="124">
        <v>65.361552028218696</v>
      </c>
      <c r="K645" s="445">
        <f t="shared" si="18"/>
        <v>-57.222222222222221</v>
      </c>
      <c r="L645" s="445">
        <f t="shared" si="19"/>
        <v>-83.862433862433846</v>
      </c>
      <c r="M645" s="445">
        <f t="shared" si="20"/>
        <v>-34.638447971781304</v>
      </c>
    </row>
    <row r="646" spans="1:13" s="437" customFormat="1" x14ac:dyDescent="0.3">
      <c r="A646" s="124" t="s">
        <v>181</v>
      </c>
      <c r="B646" s="631" t="s">
        <v>261</v>
      </c>
      <c r="C646" s="124" t="s">
        <v>1056</v>
      </c>
      <c r="D646" s="146" t="s">
        <v>1054</v>
      </c>
      <c r="E646" s="124">
        <v>30.341632949476086</v>
      </c>
      <c r="F646" s="124">
        <v>20.197323373793964</v>
      </c>
      <c r="G646" s="124">
        <v>67</v>
      </c>
      <c r="H646" s="124">
        <v>67</v>
      </c>
      <c r="I646" s="124">
        <v>36.658367050523914</v>
      </c>
      <c r="J646" s="124">
        <v>87.197323373793964</v>
      </c>
      <c r="K646" s="445">
        <f t="shared" si="18"/>
        <v>-33</v>
      </c>
      <c r="L646" s="445">
        <f t="shared" si="19"/>
        <v>-63.341632949476086</v>
      </c>
      <c r="M646" s="445">
        <f t="shared" si="20"/>
        <v>-12.802676626206036</v>
      </c>
    </row>
    <row r="647" spans="1:13" s="437" customFormat="1" x14ac:dyDescent="0.3">
      <c r="A647" s="124" t="s">
        <v>181</v>
      </c>
      <c r="B647" s="631" t="s">
        <v>261</v>
      </c>
      <c r="C647" s="124" t="s">
        <v>1057</v>
      </c>
      <c r="D647" s="146" t="s">
        <v>1054</v>
      </c>
      <c r="E647" s="124">
        <v>36.852037501160311</v>
      </c>
      <c r="F647" s="124">
        <v>9.3096630465051522</v>
      </c>
      <c r="G647" s="124">
        <v>91.333333333333329</v>
      </c>
      <c r="H647" s="124">
        <v>91.333333333333329</v>
      </c>
      <c r="I647" s="124">
        <v>54.481295832173018</v>
      </c>
      <c r="J647" s="124">
        <v>100.64299637983848</v>
      </c>
      <c r="K647" s="445">
        <f t="shared" si="18"/>
        <v>-8.6666666666666714</v>
      </c>
      <c r="L647" s="445">
        <f t="shared" si="19"/>
        <v>-45.518704167826982</v>
      </c>
      <c r="M647" s="445">
        <f t="shared" si="20"/>
        <v>0.64299637983847902</v>
      </c>
    </row>
    <row r="648" spans="1:13" s="437" customFormat="1" x14ac:dyDescent="0.3">
      <c r="A648" s="124" t="s">
        <v>181</v>
      </c>
      <c r="B648" s="631" t="s">
        <v>261</v>
      </c>
      <c r="C648" s="146" t="s">
        <v>1052</v>
      </c>
      <c r="D648" s="146" t="s">
        <v>1055</v>
      </c>
      <c r="E648" s="146">
        <v>25.238095238095237</v>
      </c>
      <c r="F648" s="146">
        <v>18.700176366843031</v>
      </c>
      <c r="G648" s="146">
        <v>37.222222222222221</v>
      </c>
      <c r="H648" s="146">
        <v>37.222222222222221</v>
      </c>
      <c r="I648" s="146">
        <v>11.984126984126984</v>
      </c>
      <c r="J648" s="146">
        <v>55.922398589065253</v>
      </c>
      <c r="K648" s="445">
        <f t="shared" si="18"/>
        <v>-62.777777777777779</v>
      </c>
      <c r="L648" s="445">
        <f t="shared" si="19"/>
        <v>-88.015873015873012</v>
      </c>
      <c r="M648" s="445">
        <f t="shared" si="20"/>
        <v>-44.077601410934747</v>
      </c>
    </row>
    <row r="649" spans="1:13" s="437" customFormat="1" x14ac:dyDescent="0.3">
      <c r="A649" s="124" t="s">
        <v>181</v>
      </c>
      <c r="B649" s="631" t="s">
        <v>261</v>
      </c>
      <c r="C649" s="124" t="s">
        <v>1056</v>
      </c>
      <c r="D649" s="146" t="s">
        <v>1055</v>
      </c>
      <c r="E649" s="124">
        <v>30.238095238095234</v>
      </c>
      <c r="F649" s="124">
        <v>19.664902998236332</v>
      </c>
      <c r="G649" s="124">
        <v>56.666666666666664</v>
      </c>
      <c r="H649" s="124">
        <v>56.666666666666664</v>
      </c>
      <c r="I649" s="124">
        <v>26.428571428571431</v>
      </c>
      <c r="J649" s="124">
        <v>76.331569664903</v>
      </c>
      <c r="K649" s="445">
        <f t="shared" si="18"/>
        <v>-43.333333333333336</v>
      </c>
      <c r="L649" s="445">
        <f t="shared" si="19"/>
        <v>-73.571428571428569</v>
      </c>
      <c r="M649" s="445">
        <f t="shared" si="20"/>
        <v>-23.668430335097</v>
      </c>
    </row>
    <row r="650" spans="1:13" s="437" customFormat="1" ht="15" thickBot="1" x14ac:dyDescent="0.35">
      <c r="A650" s="124" t="s">
        <v>181</v>
      </c>
      <c r="B650" s="631" t="s">
        <v>261</v>
      </c>
      <c r="C650" s="146" t="s">
        <v>1057</v>
      </c>
      <c r="D650" s="146" t="s">
        <v>1055</v>
      </c>
      <c r="E650" s="146">
        <v>38.483245149911816</v>
      </c>
      <c r="F650" s="124">
        <v>13.527336860670195</v>
      </c>
      <c r="G650" s="124">
        <v>77.222222222222229</v>
      </c>
      <c r="H650" s="124">
        <v>77.222222222222229</v>
      </c>
      <c r="I650" s="124">
        <v>38.738977072310412</v>
      </c>
      <c r="J650" s="124">
        <v>90.749559082892418</v>
      </c>
      <c r="K650" s="445">
        <f t="shared" si="18"/>
        <v>-22.777777777777771</v>
      </c>
      <c r="L650" s="445">
        <f t="shared" si="19"/>
        <v>-61.261022927689588</v>
      </c>
      <c r="M650" s="445">
        <f t="shared" si="20"/>
        <v>-9.2504409171075821</v>
      </c>
    </row>
    <row r="651" spans="1:13" s="437" customFormat="1" x14ac:dyDescent="0.3">
      <c r="A651" s="124" t="s">
        <v>181</v>
      </c>
      <c r="B651" s="630" t="s">
        <v>1058</v>
      </c>
      <c r="C651" s="293" t="s">
        <v>1052</v>
      </c>
      <c r="D651" s="623" t="s">
        <v>1053</v>
      </c>
      <c r="E651" s="293">
        <v>25.365079365079364</v>
      </c>
      <c r="F651" s="293">
        <v>14.734126984126982</v>
      </c>
      <c r="G651" s="293">
        <v>63.5</v>
      </c>
      <c r="H651" s="293">
        <v>63.5</v>
      </c>
      <c r="I651" s="293">
        <v>38.134920634920633</v>
      </c>
      <c r="J651" s="293">
        <v>78.234126984126988</v>
      </c>
      <c r="K651" s="445">
        <f t="shared" si="18"/>
        <v>-36.5</v>
      </c>
      <c r="L651" s="445">
        <f t="shared" si="19"/>
        <v>-61.865079365079367</v>
      </c>
      <c r="M651" s="445">
        <f t="shared" si="20"/>
        <v>-21.765873015873012</v>
      </c>
    </row>
    <row r="652" spans="1:13" s="437" customFormat="1" x14ac:dyDescent="0.3">
      <c r="A652" s="124" t="s">
        <v>181</v>
      </c>
      <c r="B652" s="631" t="s">
        <v>1058</v>
      </c>
      <c r="C652" s="146" t="s">
        <v>1056</v>
      </c>
      <c r="D652" s="620" t="s">
        <v>1053</v>
      </c>
      <c r="E652" s="124">
        <v>13.291316526610645</v>
      </c>
      <c r="F652" s="124">
        <v>9.2635387488328664</v>
      </c>
      <c r="G652" s="124">
        <v>76.875</v>
      </c>
      <c r="H652" s="124">
        <v>76.875</v>
      </c>
      <c r="I652" s="124">
        <v>63.583683473389357</v>
      </c>
      <c r="J652" s="124">
        <v>86.138538748832872</v>
      </c>
      <c r="K652" s="445">
        <f t="shared" si="18"/>
        <v>-23.125</v>
      </c>
      <c r="L652" s="445">
        <f t="shared" si="19"/>
        <v>-36.416316526610643</v>
      </c>
      <c r="M652" s="445">
        <f t="shared" si="20"/>
        <v>-13.861461251167128</v>
      </c>
    </row>
    <row r="653" spans="1:13" s="437" customFormat="1" x14ac:dyDescent="0.3">
      <c r="A653" s="124" t="s">
        <v>181</v>
      </c>
      <c r="B653" s="631" t="s">
        <v>1058</v>
      </c>
      <c r="C653" s="146" t="s">
        <v>1057</v>
      </c>
      <c r="D653" s="620" t="s">
        <v>1053</v>
      </c>
      <c r="E653" s="146">
        <v>0</v>
      </c>
      <c r="F653" s="146">
        <v>0</v>
      </c>
      <c r="G653" s="146">
        <v>100</v>
      </c>
      <c r="H653" s="146">
        <v>100</v>
      </c>
      <c r="I653" s="146">
        <v>100</v>
      </c>
      <c r="J653" s="146">
        <v>100</v>
      </c>
      <c r="K653" s="445">
        <f t="shared" si="18"/>
        <v>0</v>
      </c>
      <c r="L653" s="445">
        <f t="shared" si="19"/>
        <v>0</v>
      </c>
      <c r="M653" s="445">
        <f t="shared" si="20"/>
        <v>0</v>
      </c>
    </row>
    <row r="654" spans="1:13" s="437" customFormat="1" x14ac:dyDescent="0.3">
      <c r="A654" s="124" t="s">
        <v>181</v>
      </c>
      <c r="B654" s="631" t="s">
        <v>1058</v>
      </c>
      <c r="C654" s="146" t="s">
        <v>1052</v>
      </c>
      <c r="D654" s="620" t="s">
        <v>1054</v>
      </c>
      <c r="E654" s="124">
        <v>23.089285714285715</v>
      </c>
      <c r="F654" s="124">
        <v>18.607142857142858</v>
      </c>
      <c r="G654" s="124">
        <v>62.375</v>
      </c>
      <c r="H654" s="124">
        <v>62.375</v>
      </c>
      <c r="I654" s="124">
        <v>39.285714285714285</v>
      </c>
      <c r="J654" s="124">
        <v>80.982142857142861</v>
      </c>
      <c r="K654" s="445">
        <f t="shared" si="18"/>
        <v>-37.625</v>
      </c>
      <c r="L654" s="445">
        <f t="shared" si="19"/>
        <v>-60.714285714285715</v>
      </c>
      <c r="M654" s="445">
        <f t="shared" si="20"/>
        <v>-19.017857142857139</v>
      </c>
    </row>
    <row r="655" spans="1:13" s="437" customFormat="1" x14ac:dyDescent="0.3">
      <c r="A655" s="124" t="s">
        <v>181</v>
      </c>
      <c r="B655" s="631" t="s">
        <v>1058</v>
      </c>
      <c r="C655" s="124" t="s">
        <v>1056</v>
      </c>
      <c r="D655" s="620" t="s">
        <v>1054</v>
      </c>
      <c r="E655" s="124">
        <v>19.69047619047619</v>
      </c>
      <c r="F655" s="124">
        <v>12.412698412698411</v>
      </c>
      <c r="G655" s="124">
        <v>76.625</v>
      </c>
      <c r="H655" s="124">
        <v>76.625</v>
      </c>
      <c r="I655" s="124">
        <v>56.93452380952381</v>
      </c>
      <c r="J655" s="124">
        <v>89.037698412698404</v>
      </c>
      <c r="K655" s="445">
        <f t="shared" si="18"/>
        <v>-23.375</v>
      </c>
      <c r="L655" s="445">
        <f t="shared" si="19"/>
        <v>-43.06547619047619</v>
      </c>
      <c r="M655" s="445">
        <f t="shared" si="20"/>
        <v>-10.962301587301596</v>
      </c>
    </row>
    <row r="656" spans="1:13" s="437" customFormat="1" x14ac:dyDescent="0.3">
      <c r="A656" s="124" t="s">
        <v>181</v>
      </c>
      <c r="B656" s="631" t="s">
        <v>1058</v>
      </c>
      <c r="C656" s="124" t="s">
        <v>1057</v>
      </c>
      <c r="D656" s="620" t="s">
        <v>1054</v>
      </c>
      <c r="E656" s="124">
        <v>10.359126984126984</v>
      </c>
      <c r="F656" s="124">
        <v>6.5595238095238084</v>
      </c>
      <c r="G656" s="124">
        <v>96.25</v>
      </c>
      <c r="H656" s="124">
        <v>96.25</v>
      </c>
      <c r="I656" s="124">
        <v>85.890873015873012</v>
      </c>
      <c r="J656" s="124">
        <v>102.80952380952381</v>
      </c>
      <c r="K656" s="445">
        <f t="shared" si="18"/>
        <v>-3.75</v>
      </c>
      <c r="L656" s="445">
        <f t="shared" si="19"/>
        <v>-14.109126984126988</v>
      </c>
      <c r="M656" s="445">
        <f t="shared" si="20"/>
        <v>2.8095238095238102</v>
      </c>
    </row>
    <row r="657" spans="1:13" s="437" customFormat="1" x14ac:dyDescent="0.3">
      <c r="A657" s="124" t="s">
        <v>181</v>
      </c>
      <c r="B657" s="631" t="s">
        <v>1058</v>
      </c>
      <c r="C657" s="146" t="s">
        <v>1052</v>
      </c>
      <c r="D657" s="620" t="s">
        <v>1055</v>
      </c>
      <c r="E657" s="146">
        <v>26.436507936507937</v>
      </c>
      <c r="F657" s="146">
        <v>17.771825396825395</v>
      </c>
      <c r="G657" s="146">
        <v>73.5</v>
      </c>
      <c r="H657" s="146">
        <v>73.5</v>
      </c>
      <c r="I657" s="146">
        <v>47.063492063492063</v>
      </c>
      <c r="J657" s="146">
        <v>91.271825396825392</v>
      </c>
      <c r="K657" s="445">
        <f t="shared" si="18"/>
        <v>-26.5</v>
      </c>
      <c r="L657" s="445">
        <f t="shared" si="19"/>
        <v>-52.936507936507937</v>
      </c>
      <c r="M657" s="445">
        <f t="shared" si="20"/>
        <v>-8.7281746031746081</v>
      </c>
    </row>
    <row r="658" spans="1:13" s="437" customFormat="1" x14ac:dyDescent="0.3">
      <c r="A658" s="124" t="s">
        <v>181</v>
      </c>
      <c r="B658" s="631" t="s">
        <v>1058</v>
      </c>
      <c r="C658" s="124" t="s">
        <v>1056</v>
      </c>
      <c r="D658" s="620" t="s">
        <v>1055</v>
      </c>
      <c r="E658" s="124">
        <v>22.438492063492063</v>
      </c>
      <c r="F658" s="124">
        <v>12.077380952380953</v>
      </c>
      <c r="G658" s="124">
        <v>81</v>
      </c>
      <c r="H658" s="124">
        <v>81</v>
      </c>
      <c r="I658" s="124">
        <v>58.561507936507937</v>
      </c>
      <c r="J658" s="124">
        <v>93.077380952380949</v>
      </c>
      <c r="K658" s="445">
        <f t="shared" si="18"/>
        <v>-19</v>
      </c>
      <c r="L658" s="445">
        <f t="shared" si="19"/>
        <v>-41.438492063492063</v>
      </c>
      <c r="M658" s="445">
        <f t="shared" si="20"/>
        <v>-6.922619047619051</v>
      </c>
    </row>
    <row r="659" spans="1:13" s="437" customFormat="1" ht="15" thickBot="1" x14ac:dyDescent="0.35">
      <c r="A659" s="124" t="s">
        <v>181</v>
      </c>
      <c r="B659" s="632" t="s">
        <v>1058</v>
      </c>
      <c r="C659" s="577" t="s">
        <v>1057</v>
      </c>
      <c r="D659" s="627" t="s">
        <v>1055</v>
      </c>
      <c r="E659" s="577">
        <v>15.148809523809522</v>
      </c>
      <c r="F659" s="577">
        <v>8.8988095238095219</v>
      </c>
      <c r="G659" s="577">
        <v>94.375</v>
      </c>
      <c r="H659" s="577">
        <v>94.375</v>
      </c>
      <c r="I659" s="577">
        <v>79.226190476190482</v>
      </c>
      <c r="J659" s="577">
        <v>103.27380952380952</v>
      </c>
      <c r="K659" s="445">
        <f t="shared" si="18"/>
        <v>-5.625</v>
      </c>
      <c r="L659" s="445">
        <f t="shared" si="19"/>
        <v>-20.773809523809518</v>
      </c>
      <c r="M659" s="445">
        <f t="shared" si="20"/>
        <v>3.2738095238095184</v>
      </c>
    </row>
    <row r="660" spans="1:13" s="437" customFormat="1" x14ac:dyDescent="0.3">
      <c r="A660" s="124" t="s">
        <v>181</v>
      </c>
      <c r="B660" s="631" t="s">
        <v>263</v>
      </c>
      <c r="C660" s="124" t="s">
        <v>1052</v>
      </c>
      <c r="D660" s="124" t="s">
        <v>1053</v>
      </c>
      <c r="E660" s="124">
        <v>31.979458450046682</v>
      </c>
      <c r="F660" s="124">
        <v>20.479691876750703</v>
      </c>
      <c r="G660" s="124">
        <v>60.625</v>
      </c>
      <c r="H660" s="124">
        <v>60.625</v>
      </c>
      <c r="I660" s="124">
        <v>28.645541549953318</v>
      </c>
      <c r="J660" s="124">
        <v>81.104691876750707</v>
      </c>
      <c r="K660" s="445">
        <f t="shared" si="18"/>
        <v>-39.375</v>
      </c>
      <c r="L660" s="445">
        <f t="shared" si="19"/>
        <v>-71.354458450046678</v>
      </c>
      <c r="M660" s="445">
        <f t="shared" si="20"/>
        <v>-18.895308123249293</v>
      </c>
    </row>
    <row r="661" spans="1:13" s="437" customFormat="1" x14ac:dyDescent="0.3">
      <c r="A661" s="124" t="s">
        <v>181</v>
      </c>
      <c r="B661" s="631" t="s">
        <v>263</v>
      </c>
      <c r="C661" s="146" t="s">
        <v>1056</v>
      </c>
      <c r="D661" s="146" t="s">
        <v>1053</v>
      </c>
      <c r="E661" s="124">
        <v>27.640056022408963</v>
      </c>
      <c r="F661" s="124">
        <v>12.98377684407096</v>
      </c>
      <c r="G661" s="124">
        <v>81.875</v>
      </c>
      <c r="H661" s="124">
        <v>81.875</v>
      </c>
      <c r="I661" s="124">
        <v>54.234943977591037</v>
      </c>
      <c r="J661" s="124">
        <v>94.85877684407096</v>
      </c>
      <c r="K661" s="445">
        <f t="shared" si="18"/>
        <v>-18.125</v>
      </c>
      <c r="L661" s="445">
        <f t="shared" si="19"/>
        <v>-45.765056022408963</v>
      </c>
      <c r="M661" s="445">
        <f t="shared" si="20"/>
        <v>-5.1412231559290404</v>
      </c>
    </row>
    <row r="662" spans="1:13" s="437" customFormat="1" x14ac:dyDescent="0.3">
      <c r="A662" s="124" t="s">
        <v>181</v>
      </c>
      <c r="B662" s="631" t="s">
        <v>263</v>
      </c>
      <c r="C662" s="146" t="s">
        <v>1057</v>
      </c>
      <c r="D662" s="146" t="s">
        <v>1053</v>
      </c>
      <c r="E662" s="124">
        <v>0</v>
      </c>
      <c r="F662" s="124">
        <v>0</v>
      </c>
      <c r="G662" s="124">
        <v>100</v>
      </c>
      <c r="H662" s="124">
        <v>100</v>
      </c>
      <c r="I662" s="124">
        <v>100</v>
      </c>
      <c r="J662" s="124">
        <v>100</v>
      </c>
      <c r="K662" s="445">
        <f t="shared" si="18"/>
        <v>0</v>
      </c>
      <c r="L662" s="445">
        <f t="shared" si="19"/>
        <v>0</v>
      </c>
      <c r="M662" s="445">
        <f t="shared" si="20"/>
        <v>0</v>
      </c>
    </row>
    <row r="663" spans="1:13" s="437" customFormat="1" x14ac:dyDescent="0.3">
      <c r="A663" s="124" t="s">
        <v>181</v>
      </c>
      <c r="B663" s="631" t="s">
        <v>263</v>
      </c>
      <c r="C663" s="124" t="s">
        <v>1052</v>
      </c>
      <c r="D663" s="146" t="s">
        <v>1054</v>
      </c>
      <c r="E663" s="124">
        <v>34.507703081232492</v>
      </c>
      <c r="F663" s="124">
        <v>23.219887955182074</v>
      </c>
      <c r="G663" s="124">
        <v>54.625</v>
      </c>
      <c r="H663" s="124">
        <v>54.625</v>
      </c>
      <c r="I663" s="124">
        <v>20.117296918767508</v>
      </c>
      <c r="J663" s="124">
        <v>77.844887955182074</v>
      </c>
      <c r="K663" s="445">
        <f t="shared" si="18"/>
        <v>-45.375</v>
      </c>
      <c r="L663" s="445">
        <f t="shared" si="19"/>
        <v>-79.882703081232492</v>
      </c>
      <c r="M663" s="445">
        <f t="shared" si="20"/>
        <v>-22.155112044817926</v>
      </c>
    </row>
    <row r="664" spans="1:13" s="437" customFormat="1" x14ac:dyDescent="0.3">
      <c r="A664" s="124" t="s">
        <v>181</v>
      </c>
      <c r="B664" s="631" t="s">
        <v>263</v>
      </c>
      <c r="C664" s="124" t="s">
        <v>1056</v>
      </c>
      <c r="D664" s="124" t="s">
        <v>1054</v>
      </c>
      <c r="E664" s="124">
        <v>33.497899159663866</v>
      </c>
      <c r="F664" s="124">
        <v>16.460084033613445</v>
      </c>
      <c r="G664" s="124">
        <v>77.5</v>
      </c>
      <c r="H664" s="124">
        <v>77.5</v>
      </c>
      <c r="I664" s="124">
        <v>44.002100840336134</v>
      </c>
      <c r="J664" s="124">
        <v>93.960084033613441</v>
      </c>
      <c r="K664" s="445">
        <f t="shared" si="18"/>
        <v>-22.5</v>
      </c>
      <c r="L664" s="445">
        <f t="shared" si="19"/>
        <v>-55.997899159663866</v>
      </c>
      <c r="M664" s="445">
        <f t="shared" si="20"/>
        <v>-6.0399159663865589</v>
      </c>
    </row>
    <row r="665" spans="1:13" s="437" customFormat="1" x14ac:dyDescent="0.3">
      <c r="A665" s="124" t="s">
        <v>181</v>
      </c>
      <c r="B665" s="631" t="s">
        <v>263</v>
      </c>
      <c r="C665" s="124" t="s">
        <v>1057</v>
      </c>
      <c r="D665" s="146" t="s">
        <v>1054</v>
      </c>
      <c r="E665" s="124">
        <v>16.156512605042018</v>
      </c>
      <c r="F665" s="124">
        <v>6.8967086834733884</v>
      </c>
      <c r="G665" s="124">
        <v>94.875</v>
      </c>
      <c r="H665" s="124">
        <v>94.875</v>
      </c>
      <c r="I665" s="124">
        <v>78.718487394957975</v>
      </c>
      <c r="J665" s="124">
        <v>101.77170868347339</v>
      </c>
      <c r="K665" s="445">
        <f t="shared" si="18"/>
        <v>-5.125</v>
      </c>
      <c r="L665" s="445">
        <f t="shared" si="19"/>
        <v>-21.281512605042025</v>
      </c>
      <c r="M665" s="445">
        <f t="shared" si="20"/>
        <v>1.7717086834733919</v>
      </c>
    </row>
    <row r="666" spans="1:13" s="437" customFormat="1" x14ac:dyDescent="0.3">
      <c r="A666" s="124" t="s">
        <v>181</v>
      </c>
      <c r="B666" s="631" t="s">
        <v>263</v>
      </c>
      <c r="C666" s="124" t="s">
        <v>1052</v>
      </c>
      <c r="D666" s="146" t="s">
        <v>1055</v>
      </c>
      <c r="E666" s="124">
        <v>26.407563025210084</v>
      </c>
      <c r="F666" s="124">
        <v>33.588935574229694</v>
      </c>
      <c r="G666" s="124">
        <v>44.375</v>
      </c>
      <c r="H666" s="124">
        <v>44.375</v>
      </c>
      <c r="I666" s="124">
        <v>17.967436974789916</v>
      </c>
      <c r="J666" s="124">
        <v>77.963935574229694</v>
      </c>
      <c r="K666" s="445">
        <f t="shared" si="18"/>
        <v>-55.625</v>
      </c>
      <c r="L666" s="445">
        <f t="shared" si="19"/>
        <v>-82.032563025210081</v>
      </c>
      <c r="M666" s="445">
        <f t="shared" si="20"/>
        <v>-22.036064425770306</v>
      </c>
    </row>
    <row r="667" spans="1:13" s="437" customFormat="1" x14ac:dyDescent="0.3">
      <c r="A667" s="124" t="s">
        <v>181</v>
      </c>
      <c r="B667" s="631" t="s">
        <v>263</v>
      </c>
      <c r="C667" s="124" t="s">
        <v>1056</v>
      </c>
      <c r="D667" s="124" t="s">
        <v>1055</v>
      </c>
      <c r="E667" s="124">
        <v>40.260154061624654</v>
      </c>
      <c r="F667" s="124">
        <v>23.20973389355742</v>
      </c>
      <c r="G667" s="124">
        <v>69.5</v>
      </c>
      <c r="H667" s="124">
        <v>69.5</v>
      </c>
      <c r="I667" s="124">
        <v>29.239845938375346</v>
      </c>
      <c r="J667" s="124">
        <v>92.709733893557427</v>
      </c>
      <c r="K667" s="445">
        <f t="shared" si="18"/>
        <v>-30.5</v>
      </c>
      <c r="L667" s="445">
        <f t="shared" si="19"/>
        <v>-70.760154061624661</v>
      </c>
      <c r="M667" s="445">
        <f t="shared" si="20"/>
        <v>-7.2902661064425729</v>
      </c>
    </row>
    <row r="668" spans="1:13" s="437" customFormat="1" ht="15" thickBot="1" x14ac:dyDescent="0.35">
      <c r="A668" s="124" t="s">
        <v>181</v>
      </c>
      <c r="B668" s="631" t="s">
        <v>263</v>
      </c>
      <c r="C668" s="146" t="s">
        <v>1057</v>
      </c>
      <c r="D668" s="146" t="s">
        <v>1055</v>
      </c>
      <c r="E668" s="146">
        <v>31.043417366946777</v>
      </c>
      <c r="F668" s="124">
        <v>17.29750233426704</v>
      </c>
      <c r="G668" s="124">
        <v>79.375</v>
      </c>
      <c r="H668" s="124">
        <v>79.375</v>
      </c>
      <c r="I668" s="124">
        <v>48.331582633053223</v>
      </c>
      <c r="J668" s="124">
        <v>96.672502334267037</v>
      </c>
      <c r="K668" s="445">
        <f t="shared" si="18"/>
        <v>-20.625</v>
      </c>
      <c r="L668" s="445">
        <f t="shared" si="19"/>
        <v>-51.668417366946777</v>
      </c>
      <c r="M668" s="445">
        <f t="shared" si="20"/>
        <v>-3.3274976657329631</v>
      </c>
    </row>
    <row r="669" spans="1:13" s="437" customFormat="1" x14ac:dyDescent="0.3">
      <c r="A669" s="124" t="s">
        <v>181</v>
      </c>
      <c r="B669" s="630" t="s">
        <v>265</v>
      </c>
      <c r="C669" s="293" t="s">
        <v>1052</v>
      </c>
      <c r="D669" s="293" t="s">
        <v>1053</v>
      </c>
      <c r="E669" s="293">
        <v>23.305555555555554</v>
      </c>
      <c r="F669" s="293">
        <v>17.138888888888889</v>
      </c>
      <c r="G669" s="293">
        <v>65</v>
      </c>
      <c r="H669" s="293">
        <v>65</v>
      </c>
      <c r="I669" s="293">
        <v>41.694444444444443</v>
      </c>
      <c r="J669" s="293">
        <v>82.138888888888886</v>
      </c>
      <c r="K669" s="445">
        <f t="shared" si="18"/>
        <v>-35</v>
      </c>
      <c r="L669" s="445">
        <f t="shared" si="19"/>
        <v>-58.305555555555557</v>
      </c>
      <c r="M669" s="445">
        <f t="shared" si="20"/>
        <v>-17.861111111111114</v>
      </c>
    </row>
    <row r="670" spans="1:13" s="437" customFormat="1" x14ac:dyDescent="0.3">
      <c r="A670" s="124" t="s">
        <v>181</v>
      </c>
      <c r="B670" s="631" t="s">
        <v>265</v>
      </c>
      <c r="C670" s="146" t="s">
        <v>1056</v>
      </c>
      <c r="D670" s="146" t="s">
        <v>1053</v>
      </c>
      <c r="E670" s="124">
        <v>14.513888888888886</v>
      </c>
      <c r="F670" s="124">
        <v>9.0416666666666661</v>
      </c>
      <c r="G670" s="124">
        <v>82.5</v>
      </c>
      <c r="H670" s="124">
        <v>82.5</v>
      </c>
      <c r="I670" s="124">
        <v>67.986111111111114</v>
      </c>
      <c r="J670" s="124">
        <v>91.541666666666671</v>
      </c>
      <c r="K670" s="445">
        <f t="shared" si="18"/>
        <v>-17.5</v>
      </c>
      <c r="L670" s="445">
        <f t="shared" si="19"/>
        <v>-32.013888888888886</v>
      </c>
      <c r="M670" s="445">
        <f t="shared" si="20"/>
        <v>-8.4583333333333286</v>
      </c>
    </row>
    <row r="671" spans="1:13" s="437" customFormat="1" x14ac:dyDescent="0.3">
      <c r="A671" s="124" t="s">
        <v>181</v>
      </c>
      <c r="B671" s="631" t="s">
        <v>265</v>
      </c>
      <c r="C671" s="146" t="s">
        <v>1057</v>
      </c>
      <c r="D671" s="146" t="s">
        <v>1053</v>
      </c>
      <c r="E671" s="124">
        <v>0</v>
      </c>
      <c r="F671" s="124">
        <v>0</v>
      </c>
      <c r="G671" s="124">
        <v>100</v>
      </c>
      <c r="H671" s="124">
        <v>100</v>
      </c>
      <c r="I671" s="124">
        <v>100</v>
      </c>
      <c r="J671" s="124">
        <v>100</v>
      </c>
      <c r="K671" s="445">
        <f t="shared" si="18"/>
        <v>0</v>
      </c>
      <c r="L671" s="445">
        <f t="shared" si="19"/>
        <v>0</v>
      </c>
      <c r="M671" s="445">
        <f t="shared" si="20"/>
        <v>0</v>
      </c>
    </row>
    <row r="672" spans="1:13" s="437" customFormat="1" x14ac:dyDescent="0.3">
      <c r="A672" s="124" t="s">
        <v>181</v>
      </c>
      <c r="B672" s="631" t="s">
        <v>265</v>
      </c>
      <c r="C672" s="124" t="s">
        <v>1052</v>
      </c>
      <c r="D672" s="146" t="s">
        <v>1054</v>
      </c>
      <c r="E672" s="124">
        <v>21.352941176470591</v>
      </c>
      <c r="F672" s="124">
        <v>19.602941176470591</v>
      </c>
      <c r="G672" s="124">
        <v>67.125</v>
      </c>
      <c r="H672" s="124">
        <v>67.125</v>
      </c>
      <c r="I672" s="124">
        <v>45.772058823529406</v>
      </c>
      <c r="J672" s="124">
        <v>86.727941176470594</v>
      </c>
      <c r="K672" s="445">
        <f t="shared" si="18"/>
        <v>-32.875</v>
      </c>
      <c r="L672" s="445">
        <f t="shared" si="19"/>
        <v>-54.227941176470594</v>
      </c>
      <c r="M672" s="445">
        <f t="shared" si="20"/>
        <v>-13.272058823529406</v>
      </c>
    </row>
    <row r="673" spans="1:13" s="437" customFormat="1" x14ac:dyDescent="0.3">
      <c r="A673" s="124" t="s">
        <v>181</v>
      </c>
      <c r="B673" s="631" t="s">
        <v>265</v>
      </c>
      <c r="C673" s="124" t="s">
        <v>1056</v>
      </c>
      <c r="D673" s="124" t="s">
        <v>1054</v>
      </c>
      <c r="E673" s="124">
        <v>15.170751633986928</v>
      </c>
      <c r="F673" s="124">
        <v>10.16830065359477</v>
      </c>
      <c r="G673" s="124">
        <v>83.625</v>
      </c>
      <c r="H673" s="124">
        <v>83.625</v>
      </c>
      <c r="I673" s="124">
        <v>68.454248366013076</v>
      </c>
      <c r="J673" s="124">
        <v>93.79330065359477</v>
      </c>
      <c r="K673" s="445">
        <f t="shared" si="18"/>
        <v>-16.375</v>
      </c>
      <c r="L673" s="445">
        <f t="shared" si="19"/>
        <v>-31.545751633986924</v>
      </c>
      <c r="M673" s="445">
        <f t="shared" si="20"/>
        <v>-6.2066993464052302</v>
      </c>
    </row>
    <row r="674" spans="1:13" s="437" customFormat="1" x14ac:dyDescent="0.3">
      <c r="A674" s="124" t="s">
        <v>181</v>
      </c>
      <c r="B674" s="631" t="s">
        <v>265</v>
      </c>
      <c r="C674" s="146" t="s">
        <v>1057</v>
      </c>
      <c r="D674" s="146" t="s">
        <v>1054</v>
      </c>
      <c r="E674" s="146">
        <v>8.1258169934640527</v>
      </c>
      <c r="F674" s="146">
        <v>5.4828431372549016</v>
      </c>
      <c r="G674" s="146">
        <v>96.625</v>
      </c>
      <c r="H674" s="146">
        <v>96.625</v>
      </c>
      <c r="I674" s="146">
        <v>88.499183006535944</v>
      </c>
      <c r="J674" s="146">
        <v>102.1078431372549</v>
      </c>
      <c r="K674" s="445">
        <f t="shared" si="18"/>
        <v>-3.375</v>
      </c>
      <c r="L674" s="445">
        <f t="shared" si="19"/>
        <v>-11.500816993464056</v>
      </c>
      <c r="M674" s="445">
        <f t="shared" si="20"/>
        <v>2.1078431372549034</v>
      </c>
    </row>
    <row r="675" spans="1:13" s="437" customFormat="1" x14ac:dyDescent="0.3">
      <c r="A675" s="124" t="s">
        <v>181</v>
      </c>
      <c r="B675" s="631" t="s">
        <v>265</v>
      </c>
      <c r="C675" s="124" t="s">
        <v>1052</v>
      </c>
      <c r="D675" s="124" t="s">
        <v>1055</v>
      </c>
      <c r="E675" s="124">
        <v>23.644607843137255</v>
      </c>
      <c r="F675" s="124">
        <v>19.909313725490193</v>
      </c>
      <c r="G675" s="124">
        <v>73.375</v>
      </c>
      <c r="H675" s="124">
        <v>73.375</v>
      </c>
      <c r="I675" s="124">
        <v>49.730392156862749</v>
      </c>
      <c r="J675" s="124">
        <v>93.284313725490193</v>
      </c>
      <c r="K675" s="445">
        <f t="shared" si="18"/>
        <v>-26.625</v>
      </c>
      <c r="L675" s="445">
        <f t="shared" si="19"/>
        <v>-50.269607843137251</v>
      </c>
      <c r="M675" s="445">
        <f t="shared" si="20"/>
        <v>-6.7156862745098067</v>
      </c>
    </row>
    <row r="676" spans="1:13" s="437" customFormat="1" x14ac:dyDescent="0.3">
      <c r="A676" s="124" t="s">
        <v>181</v>
      </c>
      <c r="B676" s="631" t="s">
        <v>265</v>
      </c>
      <c r="C676" s="124" t="s">
        <v>1056</v>
      </c>
      <c r="D676" s="146" t="s">
        <v>1055</v>
      </c>
      <c r="E676" s="124">
        <v>22.093137254901961</v>
      </c>
      <c r="F676" s="124">
        <v>18.274509803921568</v>
      </c>
      <c r="G676" s="124">
        <v>78.625</v>
      </c>
      <c r="H676" s="124">
        <v>78.625</v>
      </c>
      <c r="I676" s="124">
        <v>56.531862745098039</v>
      </c>
      <c r="J676" s="124">
        <v>96.899509803921575</v>
      </c>
      <c r="K676" s="445">
        <f t="shared" si="18"/>
        <v>-21.375</v>
      </c>
      <c r="L676" s="445">
        <f t="shared" si="19"/>
        <v>-43.468137254901961</v>
      </c>
      <c r="M676" s="445">
        <f t="shared" si="20"/>
        <v>-3.1004901960784252</v>
      </c>
    </row>
    <row r="677" spans="1:13" s="437" customFormat="1" ht="15" thickBot="1" x14ac:dyDescent="0.35">
      <c r="A677" s="124" t="s">
        <v>181</v>
      </c>
      <c r="B677" s="632" t="s">
        <v>265</v>
      </c>
      <c r="C677" s="577" t="s">
        <v>1057</v>
      </c>
      <c r="D677" s="577" t="s">
        <v>1055</v>
      </c>
      <c r="E677" s="577">
        <v>20.102941176470587</v>
      </c>
      <c r="F677" s="577">
        <v>14.014705882352942</v>
      </c>
      <c r="G677" s="577">
        <v>89</v>
      </c>
      <c r="H677" s="577">
        <v>89</v>
      </c>
      <c r="I677" s="577">
        <v>68.89705882352942</v>
      </c>
      <c r="J677" s="577">
        <v>103.01470588235294</v>
      </c>
      <c r="K677" s="445">
        <f t="shared" si="18"/>
        <v>-11</v>
      </c>
      <c r="L677" s="445">
        <f t="shared" si="19"/>
        <v>-31.10294117647058</v>
      </c>
      <c r="M677" s="445">
        <f t="shared" si="20"/>
        <v>3.014705882352942</v>
      </c>
    </row>
    <row r="678" spans="1:13" s="437" customFormat="1" x14ac:dyDescent="0.3">
      <c r="A678" s="124" t="s">
        <v>547</v>
      </c>
      <c r="B678" s="633" t="s">
        <v>550</v>
      </c>
      <c r="C678" s="146" t="s">
        <v>1052</v>
      </c>
      <c r="D678" s="146" t="s">
        <v>1053</v>
      </c>
      <c r="E678" s="146">
        <v>8.7400293450713615</v>
      </c>
      <c r="F678" s="146">
        <v>13.129385087368279</v>
      </c>
      <c r="G678" s="146">
        <v>25.428571428571427</v>
      </c>
      <c r="H678" s="146">
        <v>25.428571428571427</v>
      </c>
      <c r="I678" s="146">
        <v>16.688542083500067</v>
      </c>
      <c r="J678" s="146">
        <v>38.557956515939708</v>
      </c>
      <c r="K678" s="445">
        <f t="shared" si="18"/>
        <v>-74.571428571428569</v>
      </c>
      <c r="L678" s="445">
        <f t="shared" si="19"/>
        <v>-83.311457916499933</v>
      </c>
      <c r="M678" s="445">
        <f t="shared" si="20"/>
        <v>-61.442043484060292</v>
      </c>
    </row>
    <row r="679" spans="1:13" s="437" customFormat="1" x14ac:dyDescent="0.3">
      <c r="A679" s="124" t="s">
        <v>547</v>
      </c>
      <c r="B679" s="633" t="s">
        <v>550</v>
      </c>
      <c r="C679" s="124" t="s">
        <v>1056</v>
      </c>
      <c r="D679" s="124" t="s">
        <v>1053</v>
      </c>
      <c r="E679" s="124">
        <v>10.602928890854587</v>
      </c>
      <c r="F679" s="124">
        <v>11.865251363703376</v>
      </c>
      <c r="G679" s="124">
        <v>74.714285714285708</v>
      </c>
      <c r="H679" s="124">
        <v>74.714285714285708</v>
      </c>
      <c r="I679" s="124">
        <v>64.111356823431123</v>
      </c>
      <c r="J679" s="124">
        <v>86.579537077989087</v>
      </c>
      <c r="K679" s="445">
        <f t="shared" si="18"/>
        <v>-25.285714285714292</v>
      </c>
      <c r="L679" s="445">
        <f t="shared" si="19"/>
        <v>-35.888643176568877</v>
      </c>
      <c r="M679" s="445">
        <f t="shared" si="20"/>
        <v>-13.420462922010913</v>
      </c>
    </row>
    <row r="680" spans="1:13" s="437" customFormat="1" x14ac:dyDescent="0.3">
      <c r="A680" s="124" t="s">
        <v>547</v>
      </c>
      <c r="B680" s="633" t="s">
        <v>550</v>
      </c>
      <c r="C680" s="124" t="s">
        <v>1057</v>
      </c>
      <c r="D680" s="124" t="s">
        <v>1053</v>
      </c>
      <c r="E680" s="124">
        <v>0</v>
      </c>
      <c r="F680" s="124">
        <v>0</v>
      </c>
      <c r="G680" s="124">
        <v>100</v>
      </c>
      <c r="H680" s="124">
        <v>100</v>
      </c>
      <c r="I680" s="124">
        <v>100</v>
      </c>
      <c r="J680" s="124">
        <v>100</v>
      </c>
      <c r="K680" s="445">
        <f t="shared" si="18"/>
        <v>0</v>
      </c>
      <c r="L680" s="445">
        <f t="shared" si="19"/>
        <v>0</v>
      </c>
      <c r="M680" s="445">
        <f t="shared" si="20"/>
        <v>0</v>
      </c>
    </row>
    <row r="681" spans="1:13" s="437" customFormat="1" x14ac:dyDescent="0.3">
      <c r="A681" s="124" t="s">
        <v>547</v>
      </c>
      <c r="B681" s="633" t="s">
        <v>550</v>
      </c>
      <c r="C681" s="146" t="s">
        <v>1052</v>
      </c>
      <c r="D681" s="146" t="s">
        <v>1054</v>
      </c>
      <c r="E681" s="146">
        <v>10.18140589569161</v>
      </c>
      <c r="F681" s="146">
        <v>17.639455782312925</v>
      </c>
      <c r="G681" s="146">
        <v>23.142857142857142</v>
      </c>
      <c r="H681" s="146">
        <v>23.142857142857142</v>
      </c>
      <c r="I681" s="146">
        <v>12.961451247165533</v>
      </c>
      <c r="J681" s="146">
        <v>40.782312925170068</v>
      </c>
      <c r="K681" s="445">
        <f t="shared" si="18"/>
        <v>-76.857142857142861</v>
      </c>
      <c r="L681" s="445">
        <f t="shared" si="19"/>
        <v>-87.038548752834473</v>
      </c>
      <c r="M681" s="445">
        <f t="shared" si="20"/>
        <v>-59.217687074829932</v>
      </c>
    </row>
    <row r="682" spans="1:13" s="437" customFormat="1" x14ac:dyDescent="0.3">
      <c r="A682" s="124" t="s">
        <v>547</v>
      </c>
      <c r="B682" s="633" t="s">
        <v>550</v>
      </c>
      <c r="C682" s="124" t="s">
        <v>1056</v>
      </c>
      <c r="D682" s="124" t="s">
        <v>1054</v>
      </c>
      <c r="E682" s="124">
        <v>11.487050960735171</v>
      </c>
      <c r="F682" s="124">
        <v>15.726817042606516</v>
      </c>
      <c r="G682" s="124">
        <v>71.428571428571431</v>
      </c>
      <c r="H682" s="124">
        <v>71.428571428571431</v>
      </c>
      <c r="I682" s="124">
        <v>59.941520467836256</v>
      </c>
      <c r="J682" s="124">
        <v>87.155388471177943</v>
      </c>
      <c r="K682" s="445">
        <f t="shared" si="18"/>
        <v>-28.571428571428569</v>
      </c>
      <c r="L682" s="445">
        <f t="shared" si="19"/>
        <v>-40.058479532163744</v>
      </c>
      <c r="M682" s="445">
        <f t="shared" si="20"/>
        <v>-12.844611528822057</v>
      </c>
    </row>
    <row r="683" spans="1:13" s="437" customFormat="1" x14ac:dyDescent="0.3">
      <c r="A683" s="124" t="s">
        <v>547</v>
      </c>
      <c r="B683" s="633" t="s">
        <v>550</v>
      </c>
      <c r="C683" s="124" t="s">
        <v>1057</v>
      </c>
      <c r="D683" s="124" t="s">
        <v>1054</v>
      </c>
      <c r="E683" s="124">
        <v>8.1119465329991645</v>
      </c>
      <c r="F683" s="124">
        <v>5.7059314954051796</v>
      </c>
      <c r="G683" s="124">
        <v>95.714285714285708</v>
      </c>
      <c r="H683" s="124">
        <v>95.714285714285708</v>
      </c>
      <c r="I683" s="124">
        <v>87.602339181286538</v>
      </c>
      <c r="J683" s="124">
        <v>101.42021720969089</v>
      </c>
      <c r="K683" s="445">
        <f t="shared" si="18"/>
        <v>-4.2857142857142918</v>
      </c>
      <c r="L683" s="445">
        <f t="shared" si="19"/>
        <v>-12.397660818713462</v>
      </c>
      <c r="M683" s="445">
        <f t="shared" si="20"/>
        <v>1.4202172096908896</v>
      </c>
    </row>
    <row r="684" spans="1:13" s="437" customFormat="1" x14ac:dyDescent="0.3">
      <c r="A684" s="124" t="s">
        <v>547</v>
      </c>
      <c r="B684" s="633" t="s">
        <v>550</v>
      </c>
      <c r="C684" s="124" t="s">
        <v>1052</v>
      </c>
      <c r="D684" s="124" t="s">
        <v>1055</v>
      </c>
      <c r="E684" s="124">
        <v>26.167800453514737</v>
      </c>
      <c r="F684" s="124">
        <v>20.725623582766442</v>
      </c>
      <c r="G684" s="124">
        <v>65</v>
      </c>
      <c r="H684" s="124">
        <v>65</v>
      </c>
      <c r="I684" s="124">
        <v>38.832199546485263</v>
      </c>
      <c r="J684" s="124">
        <v>85.725623582766445</v>
      </c>
      <c r="K684" s="445">
        <f t="shared" si="18"/>
        <v>-35</v>
      </c>
      <c r="L684" s="445">
        <f t="shared" si="19"/>
        <v>-61.167800453514737</v>
      </c>
      <c r="M684" s="445">
        <f t="shared" si="20"/>
        <v>-14.274376417233555</v>
      </c>
    </row>
    <row r="685" spans="1:13" s="437" customFormat="1" x14ac:dyDescent="0.3">
      <c r="A685" s="124" t="s">
        <v>547</v>
      </c>
      <c r="B685" s="633" t="s">
        <v>550</v>
      </c>
      <c r="C685" s="146" t="s">
        <v>1056</v>
      </c>
      <c r="D685" s="124" t="s">
        <v>1055</v>
      </c>
      <c r="E685" s="146">
        <v>19.40267335004177</v>
      </c>
      <c r="F685" s="124">
        <v>15.831244778613199</v>
      </c>
      <c r="G685" s="124">
        <v>90</v>
      </c>
      <c r="H685" s="124">
        <v>90</v>
      </c>
      <c r="I685" s="124">
        <v>70.597326649958234</v>
      </c>
      <c r="J685" s="124">
        <v>105.8312447786132</v>
      </c>
      <c r="K685" s="445">
        <f t="shared" si="18"/>
        <v>-10</v>
      </c>
      <c r="L685" s="445">
        <f t="shared" si="19"/>
        <v>-29.402673350041766</v>
      </c>
      <c r="M685" s="445">
        <f t="shared" si="20"/>
        <v>5.8312447786131969</v>
      </c>
    </row>
    <row r="686" spans="1:13" s="437" customFormat="1" ht="15" thickBot="1" x14ac:dyDescent="0.35">
      <c r="A686" s="124" t="s">
        <v>547</v>
      </c>
      <c r="B686" s="633" t="s">
        <v>550</v>
      </c>
      <c r="C686" s="146" t="s">
        <v>1057</v>
      </c>
      <c r="D686" s="146" t="s">
        <v>1055</v>
      </c>
      <c r="E686" s="146">
        <v>17.085557029829477</v>
      </c>
      <c r="F686" s="146">
        <v>12.266008157649024</v>
      </c>
      <c r="G686" s="146">
        <v>96</v>
      </c>
      <c r="H686" s="146">
        <v>96</v>
      </c>
      <c r="I686" s="146">
        <v>78.914442970170526</v>
      </c>
      <c r="J686" s="146">
        <v>108.26600815764903</v>
      </c>
      <c r="K686" s="445">
        <f t="shared" si="18"/>
        <v>-4</v>
      </c>
      <c r="L686" s="445">
        <f t="shared" si="19"/>
        <v>-21.085557029829474</v>
      </c>
      <c r="M686" s="445">
        <f t="shared" si="20"/>
        <v>8.2660081576490256</v>
      </c>
    </row>
    <row r="687" spans="1:13" s="437" customFormat="1" x14ac:dyDescent="0.3">
      <c r="A687" s="124" t="s">
        <v>547</v>
      </c>
      <c r="B687" s="630" t="s">
        <v>554</v>
      </c>
      <c r="C687" s="293" t="s">
        <v>1052</v>
      </c>
      <c r="D687" s="623" t="s">
        <v>1053</v>
      </c>
      <c r="E687" s="293">
        <v>8.0612244897959169</v>
      </c>
      <c r="F687" s="293">
        <v>11.102040816326532</v>
      </c>
      <c r="G687" s="293">
        <v>19.714285714285715</v>
      </c>
      <c r="H687" s="293">
        <v>19.714285714285715</v>
      </c>
      <c r="I687" s="293">
        <v>11.653061224489798</v>
      </c>
      <c r="J687" s="293">
        <v>30.816326530612248</v>
      </c>
      <c r="K687" s="445">
        <f t="shared" si="18"/>
        <v>-80.285714285714278</v>
      </c>
      <c r="L687" s="445">
        <f t="shared" si="19"/>
        <v>-88.346938775510196</v>
      </c>
      <c r="M687" s="445">
        <f t="shared" si="20"/>
        <v>-69.183673469387756</v>
      </c>
    </row>
    <row r="688" spans="1:13" s="437" customFormat="1" x14ac:dyDescent="0.3">
      <c r="A688" s="124" t="s">
        <v>547</v>
      </c>
      <c r="B688" s="631" t="s">
        <v>554</v>
      </c>
      <c r="C688" s="124" t="s">
        <v>1056</v>
      </c>
      <c r="D688" s="620" t="s">
        <v>1053</v>
      </c>
      <c r="E688" s="124">
        <v>16.250268528464016</v>
      </c>
      <c r="F688" s="124">
        <v>11.873254564983887</v>
      </c>
      <c r="G688" s="124">
        <v>71</v>
      </c>
      <c r="H688" s="124">
        <v>71</v>
      </c>
      <c r="I688" s="124">
        <v>54.749731471535981</v>
      </c>
      <c r="J688" s="124">
        <v>82.873254564983881</v>
      </c>
      <c r="K688" s="445">
        <f t="shared" si="18"/>
        <v>-29</v>
      </c>
      <c r="L688" s="445">
        <f t="shared" si="19"/>
        <v>-45.250268528464019</v>
      </c>
      <c r="M688" s="445">
        <f t="shared" si="20"/>
        <v>-17.126745435016119</v>
      </c>
    </row>
    <row r="689" spans="1:13" s="437" customFormat="1" x14ac:dyDescent="0.3">
      <c r="A689" s="124" t="s">
        <v>547</v>
      </c>
      <c r="B689" s="631" t="s">
        <v>554</v>
      </c>
      <c r="C689" s="124" t="s">
        <v>1057</v>
      </c>
      <c r="D689" s="620" t="s">
        <v>1053</v>
      </c>
      <c r="E689" s="124">
        <v>0</v>
      </c>
      <c r="F689" s="124">
        <v>0</v>
      </c>
      <c r="G689" s="124">
        <v>100</v>
      </c>
      <c r="H689" s="124">
        <v>100</v>
      </c>
      <c r="I689" s="124">
        <v>100</v>
      </c>
      <c r="J689" s="124">
        <v>100</v>
      </c>
      <c r="K689" s="445">
        <f t="shared" si="18"/>
        <v>0</v>
      </c>
      <c r="L689" s="445">
        <f t="shared" si="19"/>
        <v>0</v>
      </c>
      <c r="M689" s="445">
        <f t="shared" si="20"/>
        <v>0</v>
      </c>
    </row>
    <row r="690" spans="1:13" s="437" customFormat="1" x14ac:dyDescent="0.3">
      <c r="A690" s="124" t="s">
        <v>547</v>
      </c>
      <c r="B690" s="631" t="s">
        <v>554</v>
      </c>
      <c r="C690" s="124" t="s">
        <v>1052</v>
      </c>
      <c r="D690" s="620" t="s">
        <v>1054</v>
      </c>
      <c r="E690" s="124">
        <v>11.088435374149658</v>
      </c>
      <c r="F690" s="124">
        <v>14.585034013605441</v>
      </c>
      <c r="G690" s="124">
        <v>19.285714285714285</v>
      </c>
      <c r="H690" s="124">
        <v>19.285714285714285</v>
      </c>
      <c r="I690" s="124">
        <v>8.1972789115646272</v>
      </c>
      <c r="J690" s="124">
        <v>33.870748299319729</v>
      </c>
      <c r="K690" s="445">
        <f t="shared" si="18"/>
        <v>-80.714285714285722</v>
      </c>
      <c r="L690" s="445">
        <f t="shared" si="19"/>
        <v>-91.802721088435376</v>
      </c>
      <c r="M690" s="445">
        <f t="shared" si="20"/>
        <v>-66.129251700680271</v>
      </c>
    </row>
    <row r="691" spans="1:13" s="437" customFormat="1" x14ac:dyDescent="0.3">
      <c r="A691" s="124" t="s">
        <v>547</v>
      </c>
      <c r="B691" s="631" t="s">
        <v>554</v>
      </c>
      <c r="C691" s="124" t="s">
        <v>1056</v>
      </c>
      <c r="D691" s="620" t="s">
        <v>1054</v>
      </c>
      <c r="E691" s="124">
        <v>13.122448979591837</v>
      </c>
      <c r="F691" s="124">
        <v>15.140589569160998</v>
      </c>
      <c r="G691" s="124">
        <v>67.857142857142861</v>
      </c>
      <c r="H691" s="124">
        <v>67.857142857142861</v>
      </c>
      <c r="I691" s="124">
        <v>54.734693877551024</v>
      </c>
      <c r="J691" s="124">
        <v>82.997732426303855</v>
      </c>
      <c r="K691" s="445">
        <f t="shared" si="18"/>
        <v>-32.142857142857139</v>
      </c>
      <c r="L691" s="445">
        <f t="shared" si="19"/>
        <v>-45.265306122448976</v>
      </c>
      <c r="M691" s="445">
        <f t="shared" si="20"/>
        <v>-17.002267573696145</v>
      </c>
    </row>
    <row r="692" spans="1:13" s="437" customFormat="1" x14ac:dyDescent="0.3">
      <c r="A692" s="124" t="s">
        <v>547</v>
      </c>
      <c r="B692" s="631" t="s">
        <v>554</v>
      </c>
      <c r="C692" s="124" t="s">
        <v>1057</v>
      </c>
      <c r="D692" s="620" t="s">
        <v>1054</v>
      </c>
      <c r="E692" s="124">
        <v>6.253968253968254</v>
      </c>
      <c r="F692" s="124">
        <v>6</v>
      </c>
      <c r="G692" s="124">
        <v>95.142857142857139</v>
      </c>
      <c r="H692" s="124">
        <v>95.142857142857139</v>
      </c>
      <c r="I692" s="124">
        <v>88.888888888888886</v>
      </c>
      <c r="J692" s="124">
        <v>101.14285714285714</v>
      </c>
      <c r="K692" s="445">
        <f t="shared" si="18"/>
        <v>-4.8571428571428612</v>
      </c>
      <c r="L692" s="445">
        <f t="shared" si="19"/>
        <v>-11.111111111111114</v>
      </c>
      <c r="M692" s="445">
        <f t="shared" si="20"/>
        <v>1.1428571428571388</v>
      </c>
    </row>
    <row r="693" spans="1:13" s="437" customFormat="1" x14ac:dyDescent="0.3">
      <c r="A693" s="124" t="s">
        <v>547</v>
      </c>
      <c r="B693" s="631" t="s">
        <v>554</v>
      </c>
      <c r="C693" s="124" t="s">
        <v>1052</v>
      </c>
      <c r="D693" s="620" t="s">
        <v>1055</v>
      </c>
      <c r="E693" s="124">
        <v>20.016745159602298</v>
      </c>
      <c r="F693" s="124">
        <v>19.703819989534274</v>
      </c>
      <c r="G693" s="124">
        <v>32.857142857142854</v>
      </c>
      <c r="H693" s="124">
        <v>32.857142857142854</v>
      </c>
      <c r="I693" s="124">
        <v>12.840397697540556</v>
      </c>
      <c r="J693" s="124">
        <v>52.560962846677128</v>
      </c>
      <c r="K693" s="445">
        <f t="shared" si="18"/>
        <v>-67.142857142857139</v>
      </c>
      <c r="L693" s="445">
        <f t="shared" si="19"/>
        <v>-87.159602302459447</v>
      </c>
      <c r="M693" s="445">
        <f t="shared" si="20"/>
        <v>-47.439037153322872</v>
      </c>
    </row>
    <row r="694" spans="1:13" s="437" customFormat="1" x14ac:dyDescent="0.3">
      <c r="A694" s="124" t="s">
        <v>547</v>
      </c>
      <c r="B694" s="631" t="s">
        <v>554</v>
      </c>
      <c r="C694" s="124" t="s">
        <v>1056</v>
      </c>
      <c r="D694" s="620" t="s">
        <v>1055</v>
      </c>
      <c r="E694" s="124">
        <v>15.977929633391819</v>
      </c>
      <c r="F694" s="124">
        <v>17.16317296149229</v>
      </c>
      <c r="G694" s="124">
        <v>73.571428571428569</v>
      </c>
      <c r="H694" s="124">
        <v>73.571428571428569</v>
      </c>
      <c r="I694" s="124">
        <v>57.593498938036753</v>
      </c>
      <c r="J694" s="124">
        <v>90.734601532920863</v>
      </c>
      <c r="K694" s="445">
        <f t="shared" si="18"/>
        <v>-26.428571428571431</v>
      </c>
      <c r="L694" s="445">
        <f t="shared" si="19"/>
        <v>-42.406501061963247</v>
      </c>
      <c r="M694" s="445">
        <f t="shared" si="20"/>
        <v>-9.2653984670791374</v>
      </c>
    </row>
    <row r="695" spans="1:13" ht="15" thickBot="1" x14ac:dyDescent="0.35">
      <c r="A695" s="124" t="s">
        <v>547</v>
      </c>
      <c r="B695" s="632" t="s">
        <v>554</v>
      </c>
      <c r="C695" s="577" t="s">
        <v>1057</v>
      </c>
      <c r="D695" s="627" t="s">
        <v>1055</v>
      </c>
      <c r="E695" s="577">
        <v>12.794728147669323</v>
      </c>
      <c r="F695" s="577">
        <v>16.030955972132443</v>
      </c>
      <c r="G695" s="577">
        <v>84.714285714285708</v>
      </c>
      <c r="H695" s="577">
        <v>84.714285714285708</v>
      </c>
      <c r="I695" s="577">
        <v>71.91955756661639</v>
      </c>
      <c r="J695" s="577">
        <v>100.74524168641815</v>
      </c>
      <c r="K695" s="445">
        <f t="shared" si="18"/>
        <v>-15.285714285714292</v>
      </c>
      <c r="L695" s="445">
        <f t="shared" si="19"/>
        <v>-28.08044243338361</v>
      </c>
      <c r="M695" s="445">
        <f t="shared" si="20"/>
        <v>0.74524168641815436</v>
      </c>
    </row>
    <row r="696" spans="1:13" x14ac:dyDescent="0.3">
      <c r="A696" s="124" t="s">
        <v>547</v>
      </c>
      <c r="B696" s="146" t="s">
        <v>1073</v>
      </c>
      <c r="C696" s="124" t="s">
        <v>1052</v>
      </c>
      <c r="D696" s="124" t="s">
        <v>1053</v>
      </c>
      <c r="E696" s="124">
        <v>3.3650793650793651</v>
      </c>
      <c r="F696" s="124">
        <v>7.3650793650793656</v>
      </c>
      <c r="G696" s="124">
        <v>20.571428571428573</v>
      </c>
      <c r="H696" s="124">
        <v>20.571428571428573</v>
      </c>
      <c r="I696" s="124">
        <v>17.206349206349209</v>
      </c>
      <c r="J696" s="124">
        <v>27.936507936507937</v>
      </c>
      <c r="K696" s="445">
        <f t="shared" si="18"/>
        <v>-79.428571428571431</v>
      </c>
      <c r="L696" s="445">
        <f t="shared" si="19"/>
        <v>-82.793650793650784</v>
      </c>
      <c r="M696" s="445">
        <f t="shared" si="20"/>
        <v>-72.063492063492063</v>
      </c>
    </row>
    <row r="697" spans="1:13" x14ac:dyDescent="0.3">
      <c r="A697" s="124" t="s">
        <v>547</v>
      </c>
      <c r="B697" s="124" t="s">
        <v>1073</v>
      </c>
      <c r="C697" s="124" t="s">
        <v>1056</v>
      </c>
      <c r="D697" s="124" t="s">
        <v>1053</v>
      </c>
      <c r="E697" s="124">
        <v>9.1111111111111107</v>
      </c>
      <c r="F697" s="124">
        <v>18.38095238095238</v>
      </c>
      <c r="G697" s="124">
        <v>50.428571428571431</v>
      </c>
      <c r="H697" s="124">
        <v>50.428571428571431</v>
      </c>
      <c r="I697" s="124">
        <v>41.317460317460316</v>
      </c>
      <c r="J697" s="124">
        <v>68.80952380952381</v>
      </c>
      <c r="K697" s="445">
        <f t="shared" si="18"/>
        <v>-49.571428571428569</v>
      </c>
      <c r="L697" s="445">
        <f t="shared" si="19"/>
        <v>-58.682539682539684</v>
      </c>
      <c r="M697" s="445">
        <f t="shared" si="20"/>
        <v>-31.19047619047619</v>
      </c>
    </row>
    <row r="698" spans="1:13" x14ac:dyDescent="0.3">
      <c r="A698" s="124" t="s">
        <v>547</v>
      </c>
      <c r="B698" s="124" t="s">
        <v>1073</v>
      </c>
      <c r="C698" s="146" t="s">
        <v>1057</v>
      </c>
      <c r="D698" s="146" t="s">
        <v>1053</v>
      </c>
      <c r="E698" s="124">
        <v>0</v>
      </c>
      <c r="F698" s="124">
        <v>0</v>
      </c>
      <c r="G698" s="124">
        <v>100</v>
      </c>
      <c r="H698" s="124">
        <v>100</v>
      </c>
      <c r="I698" s="124">
        <v>100</v>
      </c>
      <c r="J698" s="124">
        <v>100</v>
      </c>
      <c r="K698" s="445">
        <f t="shared" si="18"/>
        <v>0</v>
      </c>
      <c r="L698" s="445">
        <f t="shared" si="19"/>
        <v>0</v>
      </c>
      <c r="M698" s="445">
        <f t="shared" si="20"/>
        <v>0</v>
      </c>
    </row>
    <row r="699" spans="1:13" x14ac:dyDescent="0.3">
      <c r="A699" s="124" t="s">
        <v>547</v>
      </c>
      <c r="B699" s="146" t="s">
        <v>1073</v>
      </c>
      <c r="C699" s="124" t="s">
        <v>1052</v>
      </c>
      <c r="D699" s="124" t="s">
        <v>1054</v>
      </c>
      <c r="E699" s="124">
        <v>2.9822595704948642</v>
      </c>
      <c r="F699" s="124">
        <v>13.717086834733893</v>
      </c>
      <c r="G699" s="124">
        <v>14.857142857142858</v>
      </c>
      <c r="H699" s="124">
        <v>14.857142857142858</v>
      </c>
      <c r="I699" s="124">
        <v>11.874883286647993</v>
      </c>
      <c r="J699" s="124">
        <v>28.574229691876752</v>
      </c>
      <c r="K699" s="445">
        <f t="shared" si="18"/>
        <v>-85.142857142857139</v>
      </c>
      <c r="L699" s="445">
        <f t="shared" si="19"/>
        <v>-88.125116713352014</v>
      </c>
      <c r="M699" s="445">
        <f t="shared" si="20"/>
        <v>-71.425770308123248</v>
      </c>
    </row>
    <row r="700" spans="1:13" x14ac:dyDescent="0.3">
      <c r="A700" s="124" t="s">
        <v>547</v>
      </c>
      <c r="B700" s="146" t="s">
        <v>1073</v>
      </c>
      <c r="C700" s="124" t="s">
        <v>1056</v>
      </c>
      <c r="D700" s="124" t="s">
        <v>1054</v>
      </c>
      <c r="E700" s="124">
        <v>13.478991596638656</v>
      </c>
      <c r="F700" s="124">
        <v>18.874883286647993</v>
      </c>
      <c r="G700" s="124">
        <v>56.428571428571431</v>
      </c>
      <c r="H700" s="124">
        <v>56.428571428571431</v>
      </c>
      <c r="I700" s="124">
        <v>42.949579831932773</v>
      </c>
      <c r="J700" s="124">
        <v>75.303454715219431</v>
      </c>
      <c r="K700" s="445">
        <f t="shared" si="18"/>
        <v>-43.571428571428569</v>
      </c>
      <c r="L700" s="445">
        <f t="shared" si="19"/>
        <v>-57.050420168067227</v>
      </c>
      <c r="M700" s="445">
        <f t="shared" si="20"/>
        <v>-24.696545284780569</v>
      </c>
    </row>
    <row r="701" spans="1:13" x14ac:dyDescent="0.3">
      <c r="A701" s="124" t="s">
        <v>547</v>
      </c>
      <c r="B701" s="124" t="s">
        <v>1073</v>
      </c>
      <c r="C701" s="124" t="s">
        <v>1057</v>
      </c>
      <c r="D701" s="124" t="s">
        <v>1054</v>
      </c>
      <c r="E701" s="124">
        <v>4.9919897783674871</v>
      </c>
      <c r="F701" s="124">
        <v>5.499926286303995</v>
      </c>
      <c r="G701" s="124">
        <v>98.285714285714292</v>
      </c>
      <c r="H701" s="124">
        <v>98.285714285714292</v>
      </c>
      <c r="I701" s="124">
        <v>93.293724507346809</v>
      </c>
      <c r="J701" s="124">
        <v>103.78564057201828</v>
      </c>
      <c r="K701" s="445">
        <f t="shared" si="18"/>
        <v>-1.7142857142857082</v>
      </c>
      <c r="L701" s="445">
        <f t="shared" si="19"/>
        <v>-6.7062754926531909</v>
      </c>
      <c r="M701" s="445">
        <f t="shared" si="20"/>
        <v>3.7856405720182806</v>
      </c>
    </row>
    <row r="702" spans="1:13" x14ac:dyDescent="0.3">
      <c r="A702" s="124" t="s">
        <v>547</v>
      </c>
      <c r="B702" s="124" t="s">
        <v>1073</v>
      </c>
      <c r="C702" s="124" t="s">
        <v>1052</v>
      </c>
      <c r="D702" s="124" t="s">
        <v>1055</v>
      </c>
      <c r="E702" s="124">
        <v>16.28344671201814</v>
      </c>
      <c r="F702" s="124">
        <v>23.303854875283445</v>
      </c>
      <c r="G702" s="124">
        <v>34.714285714285715</v>
      </c>
      <c r="H702" s="124">
        <v>34.714285714285715</v>
      </c>
      <c r="I702" s="124">
        <v>18.430839002267575</v>
      </c>
      <c r="J702" s="124">
        <v>58.018140589569157</v>
      </c>
      <c r="K702" s="445">
        <f t="shared" si="18"/>
        <v>-65.285714285714278</v>
      </c>
      <c r="L702" s="445">
        <f t="shared" si="19"/>
        <v>-81.569160997732425</v>
      </c>
      <c r="M702" s="445">
        <f t="shared" si="20"/>
        <v>-41.981859410430843</v>
      </c>
    </row>
    <row r="703" spans="1:13" x14ac:dyDescent="0.3">
      <c r="A703" s="124" t="s">
        <v>547</v>
      </c>
      <c r="B703" s="124" t="s">
        <v>1073</v>
      </c>
      <c r="C703" s="124" t="s">
        <v>1056</v>
      </c>
      <c r="D703" s="124" t="s">
        <v>1055</v>
      </c>
      <c r="E703" s="124">
        <v>20.714285714285715</v>
      </c>
      <c r="F703" s="124">
        <v>16.428571428571427</v>
      </c>
      <c r="G703" s="124">
        <v>73.571428571428569</v>
      </c>
      <c r="H703" s="124">
        <v>73.571428571428569</v>
      </c>
      <c r="I703" s="124">
        <v>52.857142857142854</v>
      </c>
      <c r="J703" s="124">
        <v>90</v>
      </c>
      <c r="K703" s="445">
        <f t="shared" ref="K703:K766" si="21">0-(100-H703)</f>
        <v>-26.428571428571431</v>
      </c>
      <c r="L703" s="445">
        <f t="shared" ref="L703:L766" si="22">0-(100-I703)</f>
        <v>-47.142857142857146</v>
      </c>
      <c r="M703" s="445">
        <f t="shared" ref="M703:M766" si="23">0-(100-J703)</f>
        <v>-10</v>
      </c>
    </row>
    <row r="704" spans="1:13" x14ac:dyDescent="0.3">
      <c r="A704" s="124" t="s">
        <v>547</v>
      </c>
      <c r="B704" s="146" t="s">
        <v>1073</v>
      </c>
      <c r="C704" s="146" t="s">
        <v>1057</v>
      </c>
      <c r="D704" s="124" t="s">
        <v>1055</v>
      </c>
      <c r="E704" s="146">
        <v>12.717381689517911</v>
      </c>
      <c r="F704" s="124">
        <v>14.858911985846971</v>
      </c>
      <c r="G704" s="124">
        <v>93.285714285714292</v>
      </c>
      <c r="H704" s="124">
        <v>93.285714285714292</v>
      </c>
      <c r="I704" s="124">
        <v>80.568332596196385</v>
      </c>
      <c r="J704" s="124">
        <v>108.14462627156126</v>
      </c>
      <c r="K704" s="445">
        <f t="shared" si="21"/>
        <v>-6.7142857142857082</v>
      </c>
      <c r="L704" s="445">
        <f t="shared" si="22"/>
        <v>-19.431667403803615</v>
      </c>
      <c r="M704" s="445">
        <f t="shared" si="23"/>
        <v>8.1446262715612647</v>
      </c>
    </row>
    <row r="705" spans="1:13" x14ac:dyDescent="0.3">
      <c r="A705" s="124" t="s">
        <v>547</v>
      </c>
      <c r="B705" s="146" t="s">
        <v>560</v>
      </c>
      <c r="C705" s="124" t="s">
        <v>1052</v>
      </c>
      <c r="D705" s="146" t="s">
        <v>1053</v>
      </c>
      <c r="E705" s="124">
        <v>8.6559957316259819</v>
      </c>
      <c r="F705" s="124">
        <v>13.003334667200212</v>
      </c>
      <c r="G705" s="124">
        <v>25.428571428571427</v>
      </c>
      <c r="H705" s="124">
        <v>25.428571428571427</v>
      </c>
      <c r="I705" s="124">
        <v>16.772575696945445</v>
      </c>
      <c r="J705" s="124">
        <v>38.431906095771637</v>
      </c>
      <c r="K705" s="445">
        <f t="shared" si="21"/>
        <v>-74.571428571428569</v>
      </c>
      <c r="L705" s="445">
        <f t="shared" si="22"/>
        <v>-83.227424303054562</v>
      </c>
      <c r="M705" s="445">
        <f t="shared" si="23"/>
        <v>-61.568093904228363</v>
      </c>
    </row>
    <row r="706" spans="1:13" x14ac:dyDescent="0.3">
      <c r="A706" s="124" t="s">
        <v>547</v>
      </c>
      <c r="B706" s="124" t="s">
        <v>560</v>
      </c>
      <c r="C706" s="124" t="s">
        <v>1056</v>
      </c>
      <c r="D706" s="124" t="s">
        <v>1053</v>
      </c>
      <c r="E706" s="124">
        <v>10.602928890854587</v>
      </c>
      <c r="F706" s="124">
        <v>11.865251363703376</v>
      </c>
      <c r="G706" s="124">
        <v>74.714285714285708</v>
      </c>
      <c r="H706" s="124">
        <v>74.714285714285708</v>
      </c>
      <c r="I706" s="124">
        <v>64.111356823431123</v>
      </c>
      <c r="J706" s="124">
        <v>86.579537077989087</v>
      </c>
      <c r="K706" s="445">
        <f t="shared" si="21"/>
        <v>-25.285714285714292</v>
      </c>
      <c r="L706" s="445">
        <f t="shared" si="22"/>
        <v>-35.888643176568877</v>
      </c>
      <c r="M706" s="445">
        <f t="shared" si="23"/>
        <v>-13.420462922010913</v>
      </c>
    </row>
    <row r="707" spans="1:13" x14ac:dyDescent="0.3">
      <c r="A707" s="124" t="s">
        <v>547</v>
      </c>
      <c r="B707" s="124" t="s">
        <v>560</v>
      </c>
      <c r="C707" s="146" t="s">
        <v>1057</v>
      </c>
      <c r="D707" s="146" t="s">
        <v>1053</v>
      </c>
      <c r="E707" s="124">
        <v>0</v>
      </c>
      <c r="F707" s="124">
        <v>0</v>
      </c>
      <c r="G707" s="124">
        <v>100</v>
      </c>
      <c r="H707" s="124">
        <v>100</v>
      </c>
      <c r="I707" s="124">
        <v>100</v>
      </c>
      <c r="J707" s="124">
        <v>100</v>
      </c>
      <c r="K707" s="445">
        <f t="shared" si="21"/>
        <v>0</v>
      </c>
      <c r="L707" s="445">
        <f t="shared" si="22"/>
        <v>0</v>
      </c>
      <c r="M707" s="445">
        <f t="shared" si="23"/>
        <v>0</v>
      </c>
    </row>
    <row r="708" spans="1:13" x14ac:dyDescent="0.3">
      <c r="A708" s="124" t="s">
        <v>547</v>
      </c>
      <c r="B708" s="146" t="s">
        <v>560</v>
      </c>
      <c r="C708" s="124" t="s">
        <v>1052</v>
      </c>
      <c r="D708" s="124" t="s">
        <v>1054</v>
      </c>
      <c r="E708" s="124">
        <v>10.139389088968921</v>
      </c>
      <c r="F708" s="124">
        <v>16.815926370548219</v>
      </c>
      <c r="G708" s="124">
        <v>23.142857142857142</v>
      </c>
      <c r="H708" s="124">
        <v>23.142857142857142</v>
      </c>
      <c r="I708" s="124">
        <v>13.003468053888222</v>
      </c>
      <c r="J708" s="124">
        <v>39.958783513405365</v>
      </c>
      <c r="K708" s="445">
        <f t="shared" si="21"/>
        <v>-76.857142857142861</v>
      </c>
      <c r="L708" s="445">
        <f t="shared" si="22"/>
        <v>-86.996531946111773</v>
      </c>
      <c r="M708" s="445">
        <f t="shared" si="23"/>
        <v>-60.041216486594635</v>
      </c>
    </row>
    <row r="709" spans="1:13" x14ac:dyDescent="0.3">
      <c r="A709" s="124" t="s">
        <v>547</v>
      </c>
      <c r="B709" s="124" t="s">
        <v>560</v>
      </c>
      <c r="C709" s="124" t="s">
        <v>1056</v>
      </c>
      <c r="D709" s="124" t="s">
        <v>1054</v>
      </c>
      <c r="E709" s="124">
        <v>12.201336675020885</v>
      </c>
      <c r="F709" s="124">
        <v>14.411027568922306</v>
      </c>
      <c r="G709" s="124">
        <v>72.142857142857139</v>
      </c>
      <c r="H709" s="124">
        <v>72.142857142857139</v>
      </c>
      <c r="I709" s="124">
        <v>59.941520467836256</v>
      </c>
      <c r="J709" s="124">
        <v>86.553884711779446</v>
      </c>
      <c r="K709" s="445">
        <f t="shared" si="21"/>
        <v>-27.857142857142861</v>
      </c>
      <c r="L709" s="445">
        <f t="shared" si="22"/>
        <v>-40.058479532163744</v>
      </c>
      <c r="M709" s="445">
        <f t="shared" si="23"/>
        <v>-13.446115288220554</v>
      </c>
    </row>
    <row r="710" spans="1:13" x14ac:dyDescent="0.3">
      <c r="A710" s="124" t="s">
        <v>547</v>
      </c>
      <c r="B710" s="124" t="s">
        <v>560</v>
      </c>
      <c r="C710" s="124" t="s">
        <v>1057</v>
      </c>
      <c r="D710" s="124" t="s">
        <v>1054</v>
      </c>
      <c r="E710" s="124">
        <v>8.1119465329991645</v>
      </c>
      <c r="F710" s="124">
        <v>5.7059314954051796</v>
      </c>
      <c r="G710" s="124">
        <v>95.714285714285708</v>
      </c>
      <c r="H710" s="124">
        <v>95.714285714285708</v>
      </c>
      <c r="I710" s="124">
        <v>87.602339181286538</v>
      </c>
      <c r="J710" s="124">
        <v>101.42021720969089</v>
      </c>
      <c r="K710" s="445">
        <f t="shared" si="21"/>
        <v>-4.2857142857142918</v>
      </c>
      <c r="L710" s="445">
        <f t="shared" si="22"/>
        <v>-12.397660818713462</v>
      </c>
      <c r="M710" s="445">
        <f t="shared" si="23"/>
        <v>1.4202172096908896</v>
      </c>
    </row>
    <row r="711" spans="1:13" x14ac:dyDescent="0.3">
      <c r="A711" s="124" t="s">
        <v>547</v>
      </c>
      <c r="B711" s="124" t="s">
        <v>560</v>
      </c>
      <c r="C711" s="124" t="s">
        <v>1052</v>
      </c>
      <c r="D711" s="124" t="s">
        <v>1055</v>
      </c>
      <c r="E711" s="124">
        <v>26.563958916900088</v>
      </c>
      <c r="F711" s="124">
        <v>20.933706816059757</v>
      </c>
      <c r="G711" s="124">
        <v>65</v>
      </c>
      <c r="H711" s="124">
        <v>65</v>
      </c>
      <c r="I711" s="124">
        <v>38.436041083099909</v>
      </c>
      <c r="J711" s="124">
        <v>85.933706816059754</v>
      </c>
      <c r="K711" s="445">
        <f t="shared" si="21"/>
        <v>-35</v>
      </c>
      <c r="L711" s="445">
        <f t="shared" si="22"/>
        <v>-61.563958916900091</v>
      </c>
      <c r="M711" s="445">
        <f t="shared" si="23"/>
        <v>-14.066293183940246</v>
      </c>
    </row>
    <row r="712" spans="1:13" x14ac:dyDescent="0.3">
      <c r="A712" s="124" t="s">
        <v>547</v>
      </c>
      <c r="B712" s="146" t="s">
        <v>560</v>
      </c>
      <c r="C712" s="146" t="s">
        <v>1056</v>
      </c>
      <c r="D712" s="124" t="s">
        <v>1055</v>
      </c>
      <c r="E712" s="146">
        <v>20.238095238095237</v>
      </c>
      <c r="F712" s="124">
        <v>16.031746031746032</v>
      </c>
      <c r="G712" s="124">
        <v>90</v>
      </c>
      <c r="H712" s="124">
        <v>90</v>
      </c>
      <c r="I712" s="124">
        <v>69.761904761904759</v>
      </c>
      <c r="J712" s="124">
        <v>106.03174603174602</v>
      </c>
      <c r="K712" s="445">
        <f t="shared" si="21"/>
        <v>-10</v>
      </c>
      <c r="L712" s="445">
        <f t="shared" si="22"/>
        <v>-30.238095238095241</v>
      </c>
      <c r="M712" s="445">
        <f t="shared" si="23"/>
        <v>6.0317460317460245</v>
      </c>
    </row>
    <row r="713" spans="1:13" x14ac:dyDescent="0.3">
      <c r="A713" s="124" t="s">
        <v>547</v>
      </c>
      <c r="B713" s="146" t="s">
        <v>560</v>
      </c>
      <c r="C713" s="146" t="s">
        <v>1057</v>
      </c>
      <c r="D713" s="146" t="s">
        <v>1055</v>
      </c>
      <c r="E713" s="146">
        <v>17.085557029829477</v>
      </c>
      <c r="F713" s="146">
        <v>12.266008157649024</v>
      </c>
      <c r="G713" s="146">
        <v>96</v>
      </c>
      <c r="H713" s="146">
        <v>96</v>
      </c>
      <c r="I713" s="146">
        <v>78.914442970170526</v>
      </c>
      <c r="J713" s="146">
        <v>108.26600815764903</v>
      </c>
      <c r="K713" s="445">
        <f t="shared" si="21"/>
        <v>-4</v>
      </c>
      <c r="L713" s="445">
        <f t="shared" si="22"/>
        <v>-21.085557029829474</v>
      </c>
      <c r="M713" s="445">
        <f t="shared" si="23"/>
        <v>8.2660081576490256</v>
      </c>
    </row>
    <row r="714" spans="1:13" x14ac:dyDescent="0.3">
      <c r="A714" s="124" t="s">
        <v>547</v>
      </c>
      <c r="B714" s="146" t="s">
        <v>1074</v>
      </c>
      <c r="C714" s="124" t="s">
        <v>1052</v>
      </c>
      <c r="D714" s="146" t="s">
        <v>1053</v>
      </c>
      <c r="E714" s="124">
        <v>8.6559957316259819</v>
      </c>
      <c r="F714" s="124">
        <v>13.003334667200212</v>
      </c>
      <c r="G714" s="124">
        <v>25.428571428571427</v>
      </c>
      <c r="H714" s="124">
        <v>25.428571428571427</v>
      </c>
      <c r="I714" s="124">
        <v>16.772575696945445</v>
      </c>
      <c r="J714" s="124">
        <v>38.431906095771637</v>
      </c>
      <c r="K714" s="445">
        <f t="shared" si="21"/>
        <v>-74.571428571428569</v>
      </c>
      <c r="L714" s="445">
        <f t="shared" si="22"/>
        <v>-83.227424303054562</v>
      </c>
      <c r="M714" s="445">
        <f t="shared" si="23"/>
        <v>-61.568093904228363</v>
      </c>
    </row>
    <row r="715" spans="1:13" x14ac:dyDescent="0.3">
      <c r="A715" s="124" t="s">
        <v>547</v>
      </c>
      <c r="B715" s="124" t="s">
        <v>1074</v>
      </c>
      <c r="C715" s="124" t="s">
        <v>1056</v>
      </c>
      <c r="D715" s="124" t="s">
        <v>1053</v>
      </c>
      <c r="E715" s="124">
        <v>10.602928890854587</v>
      </c>
      <c r="F715" s="124">
        <v>11.865251363703376</v>
      </c>
      <c r="G715" s="124">
        <v>74.714285714285708</v>
      </c>
      <c r="H715" s="124">
        <v>74.714285714285708</v>
      </c>
      <c r="I715" s="124">
        <v>64.111356823431123</v>
      </c>
      <c r="J715" s="124">
        <v>86.579537077989087</v>
      </c>
      <c r="K715" s="445">
        <f t="shared" si="21"/>
        <v>-25.285714285714292</v>
      </c>
      <c r="L715" s="445">
        <f t="shared" si="22"/>
        <v>-35.888643176568877</v>
      </c>
      <c r="M715" s="445">
        <f t="shared" si="23"/>
        <v>-13.420462922010913</v>
      </c>
    </row>
    <row r="716" spans="1:13" x14ac:dyDescent="0.3">
      <c r="A716" s="124" t="s">
        <v>547</v>
      </c>
      <c r="B716" s="124" t="s">
        <v>1074</v>
      </c>
      <c r="C716" s="146" t="s">
        <v>1057</v>
      </c>
      <c r="D716" s="146" t="s">
        <v>1053</v>
      </c>
      <c r="E716" s="124">
        <v>0</v>
      </c>
      <c r="F716" s="124">
        <v>0</v>
      </c>
      <c r="G716" s="124">
        <v>100</v>
      </c>
      <c r="H716" s="124">
        <v>100</v>
      </c>
      <c r="I716" s="124">
        <v>100</v>
      </c>
      <c r="J716" s="124">
        <v>100</v>
      </c>
      <c r="K716" s="445">
        <f t="shared" si="21"/>
        <v>0</v>
      </c>
      <c r="L716" s="445">
        <f t="shared" si="22"/>
        <v>0</v>
      </c>
      <c r="M716" s="445">
        <f t="shared" si="23"/>
        <v>0</v>
      </c>
    </row>
    <row r="717" spans="1:13" x14ac:dyDescent="0.3">
      <c r="A717" s="124" t="s">
        <v>547</v>
      </c>
      <c r="B717" s="146" t="s">
        <v>1074</v>
      </c>
      <c r="C717" s="124" t="s">
        <v>1052</v>
      </c>
      <c r="D717" s="124" t="s">
        <v>1054</v>
      </c>
      <c r="E717" s="124">
        <v>10.139389088968921</v>
      </c>
      <c r="F717" s="124">
        <v>16.815926370548219</v>
      </c>
      <c r="G717" s="124">
        <v>23.142857142857142</v>
      </c>
      <c r="H717" s="124">
        <v>23.142857142857142</v>
      </c>
      <c r="I717" s="124">
        <v>13.003468053888222</v>
      </c>
      <c r="J717" s="124">
        <v>39.958783513405365</v>
      </c>
      <c r="K717" s="445">
        <f t="shared" si="21"/>
        <v>-76.857142857142861</v>
      </c>
      <c r="L717" s="445">
        <f t="shared" si="22"/>
        <v>-86.996531946111773</v>
      </c>
      <c r="M717" s="445">
        <f t="shared" si="23"/>
        <v>-60.041216486594635</v>
      </c>
    </row>
    <row r="718" spans="1:13" x14ac:dyDescent="0.3">
      <c r="A718" s="124" t="s">
        <v>547</v>
      </c>
      <c r="B718" s="124" t="s">
        <v>1074</v>
      </c>
      <c r="C718" s="124" t="s">
        <v>1056</v>
      </c>
      <c r="D718" s="124" t="s">
        <v>1054</v>
      </c>
      <c r="E718" s="124">
        <v>12.201336675020885</v>
      </c>
      <c r="F718" s="124">
        <v>14.411027568922306</v>
      </c>
      <c r="G718" s="124">
        <v>72.142857142857139</v>
      </c>
      <c r="H718" s="124">
        <v>72.142857142857139</v>
      </c>
      <c r="I718" s="124">
        <v>59.941520467836256</v>
      </c>
      <c r="J718" s="124">
        <v>86.553884711779446</v>
      </c>
      <c r="K718" s="445">
        <f t="shared" si="21"/>
        <v>-27.857142857142861</v>
      </c>
      <c r="L718" s="445">
        <f t="shared" si="22"/>
        <v>-40.058479532163744</v>
      </c>
      <c r="M718" s="445">
        <f t="shared" si="23"/>
        <v>-13.446115288220554</v>
      </c>
    </row>
    <row r="719" spans="1:13" x14ac:dyDescent="0.3">
      <c r="A719" s="124" t="s">
        <v>547</v>
      </c>
      <c r="B719" s="124" t="s">
        <v>1074</v>
      </c>
      <c r="C719" s="124" t="s">
        <v>1057</v>
      </c>
      <c r="D719" s="124" t="s">
        <v>1054</v>
      </c>
      <c r="E719" s="124">
        <v>8.1119465329991645</v>
      </c>
      <c r="F719" s="124">
        <v>5.7059314954051796</v>
      </c>
      <c r="G719" s="124">
        <v>95.714285714285708</v>
      </c>
      <c r="H719" s="124">
        <v>95.714285714285708</v>
      </c>
      <c r="I719" s="124">
        <v>87.602339181286538</v>
      </c>
      <c r="J719" s="124">
        <v>101.42021720969089</v>
      </c>
      <c r="K719" s="445">
        <f t="shared" si="21"/>
        <v>-4.2857142857142918</v>
      </c>
      <c r="L719" s="445">
        <f t="shared" si="22"/>
        <v>-12.397660818713462</v>
      </c>
      <c r="M719" s="445">
        <f t="shared" si="23"/>
        <v>1.4202172096908896</v>
      </c>
    </row>
    <row r="720" spans="1:13" x14ac:dyDescent="0.3">
      <c r="A720" s="124" t="s">
        <v>547</v>
      </c>
      <c r="B720" s="124" t="s">
        <v>1074</v>
      </c>
      <c r="C720" s="124" t="s">
        <v>1052</v>
      </c>
      <c r="D720" s="124" t="s">
        <v>1055</v>
      </c>
      <c r="E720" s="124">
        <v>26.563958916900088</v>
      </c>
      <c r="F720" s="124">
        <v>20.933706816059757</v>
      </c>
      <c r="G720" s="124">
        <v>65</v>
      </c>
      <c r="H720" s="124">
        <v>65</v>
      </c>
      <c r="I720" s="124">
        <v>38.436041083099909</v>
      </c>
      <c r="J720" s="124">
        <v>85.933706816059754</v>
      </c>
      <c r="K720" s="445">
        <f t="shared" si="21"/>
        <v>-35</v>
      </c>
      <c r="L720" s="445">
        <f t="shared" si="22"/>
        <v>-61.563958916900091</v>
      </c>
      <c r="M720" s="445">
        <f t="shared" si="23"/>
        <v>-14.066293183940246</v>
      </c>
    </row>
    <row r="721" spans="1:13" x14ac:dyDescent="0.3">
      <c r="A721" s="124" t="s">
        <v>547</v>
      </c>
      <c r="B721" s="146" t="s">
        <v>1074</v>
      </c>
      <c r="C721" s="146" t="s">
        <v>1056</v>
      </c>
      <c r="D721" s="124" t="s">
        <v>1055</v>
      </c>
      <c r="E721" s="146">
        <v>20.238095238095237</v>
      </c>
      <c r="F721" s="124">
        <v>16.031746031746032</v>
      </c>
      <c r="G721" s="124">
        <v>90</v>
      </c>
      <c r="H721" s="124">
        <v>90</v>
      </c>
      <c r="I721" s="124">
        <v>69.761904761904759</v>
      </c>
      <c r="J721" s="124">
        <v>106.03174603174602</v>
      </c>
      <c r="K721" s="445">
        <f t="shared" si="21"/>
        <v>-10</v>
      </c>
      <c r="L721" s="445">
        <f t="shared" si="22"/>
        <v>-30.238095238095241</v>
      </c>
      <c r="M721" s="445">
        <f t="shared" si="23"/>
        <v>6.0317460317460245</v>
      </c>
    </row>
    <row r="722" spans="1:13" x14ac:dyDescent="0.3">
      <c r="A722" s="124" t="s">
        <v>547</v>
      </c>
      <c r="B722" s="146" t="s">
        <v>1074</v>
      </c>
      <c r="C722" s="146" t="s">
        <v>1057</v>
      </c>
      <c r="D722" s="146" t="s">
        <v>1055</v>
      </c>
      <c r="E722" s="146">
        <v>17.085557029829477</v>
      </c>
      <c r="F722" s="146">
        <v>12.266008157649024</v>
      </c>
      <c r="G722" s="146">
        <v>96</v>
      </c>
      <c r="H722" s="146">
        <v>96</v>
      </c>
      <c r="I722" s="146">
        <v>78.914442970170526</v>
      </c>
      <c r="J722" s="146">
        <v>108.26600815764903</v>
      </c>
      <c r="K722" s="445">
        <f t="shared" si="21"/>
        <v>-4</v>
      </c>
      <c r="L722" s="445">
        <f t="shared" si="22"/>
        <v>-21.085557029829474</v>
      </c>
      <c r="M722" s="445">
        <f t="shared" si="23"/>
        <v>8.2660081576490256</v>
      </c>
    </row>
    <row r="723" spans="1:13" x14ac:dyDescent="0.3">
      <c r="A723" s="124" t="s">
        <v>547</v>
      </c>
      <c r="B723" s="146" t="s">
        <v>1075</v>
      </c>
      <c r="C723" s="124" t="s">
        <v>1052</v>
      </c>
      <c r="D723" s="146" t="s">
        <v>1053</v>
      </c>
      <c r="E723" s="124">
        <v>8.6559957316259819</v>
      </c>
      <c r="F723" s="124">
        <v>13.003334667200212</v>
      </c>
      <c r="G723" s="124">
        <v>25.428571428571427</v>
      </c>
      <c r="H723" s="124">
        <v>25.428571428571427</v>
      </c>
      <c r="I723" s="124">
        <v>16.772575696945445</v>
      </c>
      <c r="J723" s="124">
        <v>38.431906095771637</v>
      </c>
      <c r="K723" s="445">
        <f t="shared" si="21"/>
        <v>-74.571428571428569</v>
      </c>
      <c r="L723" s="445">
        <f t="shared" si="22"/>
        <v>-83.227424303054562</v>
      </c>
      <c r="M723" s="445">
        <f t="shared" si="23"/>
        <v>-61.568093904228363</v>
      </c>
    </row>
    <row r="724" spans="1:13" x14ac:dyDescent="0.3">
      <c r="A724" s="124" t="s">
        <v>547</v>
      </c>
      <c r="B724" s="124" t="s">
        <v>1075</v>
      </c>
      <c r="C724" s="124" t="s">
        <v>1056</v>
      </c>
      <c r="D724" s="124" t="s">
        <v>1053</v>
      </c>
      <c r="E724" s="124">
        <v>10.602928890854587</v>
      </c>
      <c r="F724" s="124">
        <v>11.865251363703376</v>
      </c>
      <c r="G724" s="124">
        <v>74.714285714285708</v>
      </c>
      <c r="H724" s="124">
        <v>74.714285714285708</v>
      </c>
      <c r="I724" s="124">
        <v>64.111356823431123</v>
      </c>
      <c r="J724" s="124">
        <v>86.579537077989087</v>
      </c>
      <c r="K724" s="445">
        <f t="shared" si="21"/>
        <v>-25.285714285714292</v>
      </c>
      <c r="L724" s="445">
        <f t="shared" si="22"/>
        <v>-35.888643176568877</v>
      </c>
      <c r="M724" s="445">
        <f t="shared" si="23"/>
        <v>-13.420462922010913</v>
      </c>
    </row>
    <row r="725" spans="1:13" x14ac:dyDescent="0.3">
      <c r="A725" s="124" t="s">
        <v>547</v>
      </c>
      <c r="B725" s="124" t="s">
        <v>1075</v>
      </c>
      <c r="C725" s="146" t="s">
        <v>1057</v>
      </c>
      <c r="D725" s="146" t="s">
        <v>1053</v>
      </c>
      <c r="E725" s="124">
        <v>0</v>
      </c>
      <c r="F725" s="124">
        <v>0</v>
      </c>
      <c r="G725" s="124">
        <v>100</v>
      </c>
      <c r="H725" s="124">
        <v>100</v>
      </c>
      <c r="I725" s="124">
        <v>100</v>
      </c>
      <c r="J725" s="124">
        <v>100</v>
      </c>
      <c r="K725" s="445">
        <f t="shared" si="21"/>
        <v>0</v>
      </c>
      <c r="L725" s="445">
        <f t="shared" si="22"/>
        <v>0</v>
      </c>
      <c r="M725" s="445">
        <f t="shared" si="23"/>
        <v>0</v>
      </c>
    </row>
    <row r="726" spans="1:13" x14ac:dyDescent="0.3">
      <c r="A726" s="124" t="s">
        <v>547</v>
      </c>
      <c r="B726" s="146" t="s">
        <v>1075</v>
      </c>
      <c r="C726" s="124" t="s">
        <v>1052</v>
      </c>
      <c r="D726" s="124" t="s">
        <v>1054</v>
      </c>
      <c r="E726" s="124">
        <v>10.139389088968921</v>
      </c>
      <c r="F726" s="124">
        <v>16.815926370548219</v>
      </c>
      <c r="G726" s="124">
        <v>23.142857142857142</v>
      </c>
      <c r="H726" s="124">
        <v>23.142857142857142</v>
      </c>
      <c r="I726" s="124">
        <v>13.003468053888222</v>
      </c>
      <c r="J726" s="124">
        <v>39.958783513405365</v>
      </c>
      <c r="K726" s="445">
        <f t="shared" si="21"/>
        <v>-76.857142857142861</v>
      </c>
      <c r="L726" s="445">
        <f t="shared" si="22"/>
        <v>-86.996531946111773</v>
      </c>
      <c r="M726" s="445">
        <f t="shared" si="23"/>
        <v>-60.041216486594635</v>
      </c>
    </row>
    <row r="727" spans="1:13" x14ac:dyDescent="0.3">
      <c r="A727" s="124" t="s">
        <v>547</v>
      </c>
      <c r="B727" s="124" t="s">
        <v>1075</v>
      </c>
      <c r="C727" s="124" t="s">
        <v>1056</v>
      </c>
      <c r="D727" s="124" t="s">
        <v>1054</v>
      </c>
      <c r="E727" s="124">
        <v>12.201336675020885</v>
      </c>
      <c r="F727" s="124">
        <v>14.411027568922306</v>
      </c>
      <c r="G727" s="124">
        <v>72.142857142857139</v>
      </c>
      <c r="H727" s="124">
        <v>72.142857142857139</v>
      </c>
      <c r="I727" s="124">
        <v>59.941520467836256</v>
      </c>
      <c r="J727" s="124">
        <v>86.553884711779446</v>
      </c>
      <c r="K727" s="445">
        <f t="shared" si="21"/>
        <v>-27.857142857142861</v>
      </c>
      <c r="L727" s="445">
        <f t="shared" si="22"/>
        <v>-40.058479532163744</v>
      </c>
      <c r="M727" s="445">
        <f t="shared" si="23"/>
        <v>-13.446115288220554</v>
      </c>
    </row>
    <row r="728" spans="1:13" x14ac:dyDescent="0.3">
      <c r="A728" s="124" t="s">
        <v>547</v>
      </c>
      <c r="B728" s="124" t="s">
        <v>1075</v>
      </c>
      <c r="C728" s="124" t="s">
        <v>1057</v>
      </c>
      <c r="D728" s="124" t="s">
        <v>1054</v>
      </c>
      <c r="E728" s="124">
        <v>8.1119465329991645</v>
      </c>
      <c r="F728" s="124">
        <v>5.7059314954051796</v>
      </c>
      <c r="G728" s="124">
        <v>95.714285714285708</v>
      </c>
      <c r="H728" s="124">
        <v>95.714285714285708</v>
      </c>
      <c r="I728" s="124">
        <v>87.602339181286538</v>
      </c>
      <c r="J728" s="124">
        <v>101.42021720969089</v>
      </c>
      <c r="K728" s="445">
        <f t="shared" si="21"/>
        <v>-4.2857142857142918</v>
      </c>
      <c r="L728" s="445">
        <f t="shared" si="22"/>
        <v>-12.397660818713462</v>
      </c>
      <c r="M728" s="445">
        <f t="shared" si="23"/>
        <v>1.4202172096908896</v>
      </c>
    </row>
    <row r="729" spans="1:13" x14ac:dyDescent="0.3">
      <c r="A729" s="124" t="s">
        <v>547</v>
      </c>
      <c r="B729" s="124" t="s">
        <v>1075</v>
      </c>
      <c r="C729" s="124" t="s">
        <v>1052</v>
      </c>
      <c r="D729" s="124" t="s">
        <v>1055</v>
      </c>
      <c r="E729" s="124">
        <v>26.563958916900088</v>
      </c>
      <c r="F729" s="124">
        <v>20.933706816059757</v>
      </c>
      <c r="G729" s="124">
        <v>65</v>
      </c>
      <c r="H729" s="124">
        <v>65</v>
      </c>
      <c r="I729" s="124">
        <v>38.436041083099909</v>
      </c>
      <c r="J729" s="124">
        <v>85.933706816059754</v>
      </c>
      <c r="K729" s="445">
        <f t="shared" si="21"/>
        <v>-35</v>
      </c>
      <c r="L729" s="445">
        <f t="shared" si="22"/>
        <v>-61.563958916900091</v>
      </c>
      <c r="M729" s="445">
        <f t="shared" si="23"/>
        <v>-14.066293183940246</v>
      </c>
    </row>
    <row r="730" spans="1:13" x14ac:dyDescent="0.3">
      <c r="A730" s="124" t="s">
        <v>547</v>
      </c>
      <c r="B730" s="146" t="s">
        <v>1075</v>
      </c>
      <c r="C730" s="146" t="s">
        <v>1056</v>
      </c>
      <c r="D730" s="124" t="s">
        <v>1055</v>
      </c>
      <c r="E730" s="146">
        <v>20.238095238095237</v>
      </c>
      <c r="F730" s="124">
        <v>16.031746031746032</v>
      </c>
      <c r="G730" s="124">
        <v>90</v>
      </c>
      <c r="H730" s="124">
        <v>90</v>
      </c>
      <c r="I730" s="124">
        <v>69.761904761904759</v>
      </c>
      <c r="J730" s="124">
        <v>106.03174603174602</v>
      </c>
      <c r="K730" s="445">
        <f t="shared" si="21"/>
        <v>-10</v>
      </c>
      <c r="L730" s="445">
        <f t="shared" si="22"/>
        <v>-30.238095238095241</v>
      </c>
      <c r="M730" s="445">
        <f t="shared" si="23"/>
        <v>6.0317460317460245</v>
      </c>
    </row>
    <row r="731" spans="1:13" x14ac:dyDescent="0.3">
      <c r="A731" s="124" t="s">
        <v>547</v>
      </c>
      <c r="B731" s="146" t="s">
        <v>1075</v>
      </c>
      <c r="C731" s="146" t="s">
        <v>1057</v>
      </c>
      <c r="D731" s="146" t="s">
        <v>1055</v>
      </c>
      <c r="E731" s="146">
        <v>17.085557029829477</v>
      </c>
      <c r="F731" s="146">
        <v>12.266008157649024</v>
      </c>
      <c r="G731" s="146">
        <v>96</v>
      </c>
      <c r="H731" s="146">
        <v>96</v>
      </c>
      <c r="I731" s="146">
        <v>78.914442970170526</v>
      </c>
      <c r="J731" s="146">
        <v>108.26600815764903</v>
      </c>
      <c r="K731" s="445">
        <f t="shared" si="21"/>
        <v>-4</v>
      </c>
      <c r="L731" s="445">
        <f t="shared" si="22"/>
        <v>-21.085557029829474</v>
      </c>
      <c r="M731" s="445">
        <f t="shared" si="23"/>
        <v>8.2660081576490256</v>
      </c>
    </row>
    <row r="732" spans="1:13" x14ac:dyDescent="0.3">
      <c r="A732" s="124" t="s">
        <v>547</v>
      </c>
      <c r="B732" s="124" t="s">
        <v>566</v>
      </c>
      <c r="C732" s="124" t="s">
        <v>1052</v>
      </c>
      <c r="D732" s="124" t="s">
        <v>1053</v>
      </c>
      <c r="E732" s="124">
        <v>19.729891956782716</v>
      </c>
      <c r="F732" s="124">
        <v>21.705082032813124</v>
      </c>
      <c r="G732" s="124">
        <v>62.857142857142854</v>
      </c>
      <c r="H732" s="124">
        <v>62.857142857142854</v>
      </c>
      <c r="I732" s="124">
        <v>43.127250900360139</v>
      </c>
      <c r="J732" s="124">
        <v>84.562224889955985</v>
      </c>
      <c r="K732" s="445">
        <f t="shared" si="21"/>
        <v>-37.142857142857146</v>
      </c>
      <c r="L732" s="445">
        <f t="shared" si="22"/>
        <v>-56.872749099639861</v>
      </c>
      <c r="M732" s="445">
        <f t="shared" si="23"/>
        <v>-15.437775110044015</v>
      </c>
    </row>
    <row r="733" spans="1:13" x14ac:dyDescent="0.3">
      <c r="A733" s="124" t="s">
        <v>547</v>
      </c>
      <c r="B733" s="124" t="s">
        <v>566</v>
      </c>
      <c r="C733" s="124" t="s">
        <v>1056</v>
      </c>
      <c r="D733" s="124" t="s">
        <v>1053</v>
      </c>
      <c r="E733" s="124">
        <v>16.549707602339179</v>
      </c>
      <c r="F733" s="124">
        <v>7.2247284878863827</v>
      </c>
      <c r="G733" s="124">
        <v>90.142857142857139</v>
      </c>
      <c r="H733" s="124">
        <v>90.142857142857139</v>
      </c>
      <c r="I733" s="124">
        <v>73.593149540517956</v>
      </c>
      <c r="J733" s="124">
        <v>97.36758563074352</v>
      </c>
      <c r="K733" s="445">
        <f t="shared" si="21"/>
        <v>-9.8571428571428612</v>
      </c>
      <c r="L733" s="445">
        <f t="shared" si="22"/>
        <v>-26.406850459482044</v>
      </c>
      <c r="M733" s="445">
        <f t="shared" si="23"/>
        <v>-2.6324143692564803</v>
      </c>
    </row>
    <row r="734" spans="1:13" x14ac:dyDescent="0.3">
      <c r="A734" s="124" t="s">
        <v>547</v>
      </c>
      <c r="B734" s="124" t="s">
        <v>566</v>
      </c>
      <c r="C734" s="146" t="s">
        <v>1057</v>
      </c>
      <c r="D734" s="146" t="s">
        <v>1053</v>
      </c>
      <c r="E734" s="124">
        <v>0</v>
      </c>
      <c r="F734" s="124">
        <v>0</v>
      </c>
      <c r="G734" s="124">
        <v>100</v>
      </c>
      <c r="H734" s="124">
        <v>100</v>
      </c>
      <c r="I734" s="124">
        <v>100</v>
      </c>
      <c r="J734" s="124">
        <v>100</v>
      </c>
      <c r="K734" s="445">
        <f t="shared" si="21"/>
        <v>0</v>
      </c>
      <c r="L734" s="445">
        <f t="shared" si="22"/>
        <v>0</v>
      </c>
      <c r="M734" s="445">
        <f t="shared" si="23"/>
        <v>0</v>
      </c>
    </row>
    <row r="735" spans="1:13" x14ac:dyDescent="0.3">
      <c r="A735" s="124" t="s">
        <v>547</v>
      </c>
      <c r="B735" s="146" t="s">
        <v>566</v>
      </c>
      <c r="C735" s="124" t="s">
        <v>1052</v>
      </c>
      <c r="D735" s="124" t="s">
        <v>1054</v>
      </c>
      <c r="E735" s="124">
        <v>18.469387755102041</v>
      </c>
      <c r="F735" s="124">
        <v>20.612244897959183</v>
      </c>
      <c r="G735" s="124">
        <v>47.142857142857146</v>
      </c>
      <c r="H735" s="124">
        <v>47.142857142857146</v>
      </c>
      <c r="I735" s="124">
        <v>28.673469387755105</v>
      </c>
      <c r="J735" s="124">
        <v>67.755102040816325</v>
      </c>
      <c r="K735" s="445">
        <f t="shared" si="21"/>
        <v>-52.857142857142854</v>
      </c>
      <c r="L735" s="445">
        <f t="shared" si="22"/>
        <v>-71.326530612244895</v>
      </c>
      <c r="M735" s="445">
        <f t="shared" si="23"/>
        <v>-32.244897959183675</v>
      </c>
    </row>
    <row r="736" spans="1:13" x14ac:dyDescent="0.3">
      <c r="A736" s="124" t="s">
        <v>547</v>
      </c>
      <c r="B736" s="124" t="s">
        <v>566</v>
      </c>
      <c r="C736" s="124" t="s">
        <v>1056</v>
      </c>
      <c r="D736" s="124" t="s">
        <v>1054</v>
      </c>
      <c r="E736" s="124">
        <v>18.650793650793648</v>
      </c>
      <c r="F736" s="124">
        <v>14.253968253968253</v>
      </c>
      <c r="G736" s="124">
        <v>80</v>
      </c>
      <c r="H736" s="124">
        <v>80</v>
      </c>
      <c r="I736" s="124">
        <v>61.349206349206355</v>
      </c>
      <c r="J736" s="124">
        <v>94.253968253968253</v>
      </c>
      <c r="K736" s="445">
        <f t="shared" si="21"/>
        <v>-20</v>
      </c>
      <c r="L736" s="445">
        <f t="shared" si="22"/>
        <v>-38.650793650793645</v>
      </c>
      <c r="M736" s="445">
        <f t="shared" si="23"/>
        <v>-5.7460317460317469</v>
      </c>
    </row>
    <row r="737" spans="1:13" x14ac:dyDescent="0.3">
      <c r="A737" s="124" t="s">
        <v>547</v>
      </c>
      <c r="B737" s="124" t="s">
        <v>566</v>
      </c>
      <c r="C737" s="124" t="s">
        <v>1057</v>
      </c>
      <c r="D737" s="124" t="s">
        <v>1054</v>
      </c>
      <c r="E737" s="124">
        <v>5.7787114845938374</v>
      </c>
      <c r="F737" s="124">
        <v>5.2913165266106441</v>
      </c>
      <c r="G737" s="124">
        <v>98</v>
      </c>
      <c r="H737" s="124">
        <v>98</v>
      </c>
      <c r="I737" s="124">
        <v>92.221288515406158</v>
      </c>
      <c r="J737" s="124">
        <v>103.29131652661064</v>
      </c>
      <c r="K737" s="445">
        <f t="shared" si="21"/>
        <v>-2</v>
      </c>
      <c r="L737" s="445">
        <f t="shared" si="22"/>
        <v>-7.7787114845938419</v>
      </c>
      <c r="M737" s="445">
        <f t="shared" si="23"/>
        <v>3.2913165266106432</v>
      </c>
    </row>
    <row r="738" spans="1:13" x14ac:dyDescent="0.3">
      <c r="A738" s="124" t="s">
        <v>547</v>
      </c>
      <c r="B738" s="124" t="s">
        <v>566</v>
      </c>
      <c r="C738" s="124" t="s">
        <v>1052</v>
      </c>
      <c r="D738" s="124" t="s">
        <v>1055</v>
      </c>
      <c r="E738" s="124">
        <v>17.047619047619047</v>
      </c>
      <c r="F738" s="124">
        <v>26.204081632653065</v>
      </c>
      <c r="G738" s="124">
        <v>49.285714285714285</v>
      </c>
      <c r="H738" s="124">
        <v>49.285714285714285</v>
      </c>
      <c r="I738" s="124">
        <v>32.238095238095241</v>
      </c>
      <c r="J738" s="124">
        <v>75.489795918367349</v>
      </c>
      <c r="K738" s="445">
        <f t="shared" si="21"/>
        <v>-50.714285714285715</v>
      </c>
      <c r="L738" s="445">
        <f t="shared" si="22"/>
        <v>-67.761904761904759</v>
      </c>
      <c r="M738" s="445">
        <f t="shared" si="23"/>
        <v>-24.510204081632651</v>
      </c>
    </row>
    <row r="739" spans="1:13" x14ac:dyDescent="0.3">
      <c r="A739" s="124" t="s">
        <v>547</v>
      </c>
      <c r="B739" s="124" t="s">
        <v>566</v>
      </c>
      <c r="C739" s="124" t="s">
        <v>1056</v>
      </c>
      <c r="D739" s="124" t="s">
        <v>1055</v>
      </c>
      <c r="E739" s="124">
        <v>24.691476590636253</v>
      </c>
      <c r="F739" s="124">
        <v>14.630252100840336</v>
      </c>
      <c r="G739" s="124">
        <v>79.714285714285708</v>
      </c>
      <c r="H739" s="124">
        <v>79.714285714285708</v>
      </c>
      <c r="I739" s="124">
        <v>55.022809123649452</v>
      </c>
      <c r="J739" s="124">
        <v>94.344537815126046</v>
      </c>
      <c r="K739" s="445">
        <f t="shared" si="21"/>
        <v>-20.285714285714292</v>
      </c>
      <c r="L739" s="445">
        <f t="shared" si="22"/>
        <v>-44.977190876350548</v>
      </c>
      <c r="M739" s="445">
        <f t="shared" si="23"/>
        <v>-5.6554621848739544</v>
      </c>
    </row>
    <row r="740" spans="1:13" x14ac:dyDescent="0.3">
      <c r="A740" s="124" t="s">
        <v>547</v>
      </c>
      <c r="B740" s="146" t="s">
        <v>566</v>
      </c>
      <c r="C740" s="146" t="s">
        <v>1057</v>
      </c>
      <c r="D740" s="146" t="s">
        <v>1055</v>
      </c>
      <c r="E740" s="146">
        <v>17.877551020408163</v>
      </c>
      <c r="F740" s="146">
        <v>14.061224489795919</v>
      </c>
      <c r="G740" s="146">
        <v>92.571428571428569</v>
      </c>
      <c r="H740" s="146">
        <v>92.571428571428569</v>
      </c>
      <c r="I740" s="146">
        <v>74.693877551020407</v>
      </c>
      <c r="J740" s="146">
        <v>106.63265306122449</v>
      </c>
      <c r="K740" s="445">
        <f t="shared" si="21"/>
        <v>-7.4285714285714306</v>
      </c>
      <c r="L740" s="445">
        <f t="shared" si="22"/>
        <v>-25.306122448979593</v>
      </c>
      <c r="M740" s="445">
        <f t="shared" si="23"/>
        <v>6.6326530612244881</v>
      </c>
    </row>
    <row r="741" spans="1:13" x14ac:dyDescent="0.3">
      <c r="A741" s="124" t="s">
        <v>547</v>
      </c>
      <c r="B741" s="124" t="s">
        <v>569</v>
      </c>
      <c r="C741" s="124" t="s">
        <v>1052</v>
      </c>
      <c r="D741" s="124" t="s">
        <v>1053</v>
      </c>
      <c r="E741" s="124">
        <v>9.785426991309345</v>
      </c>
      <c r="F741" s="124">
        <v>22.083961789844142</v>
      </c>
      <c r="G741" s="124">
        <v>34.25</v>
      </c>
      <c r="H741" s="124">
        <v>34.25</v>
      </c>
      <c r="I741" s="124">
        <v>24.464573008690657</v>
      </c>
      <c r="J741" s="124">
        <v>56.333961789844139</v>
      </c>
      <c r="K741" s="445">
        <f t="shared" si="21"/>
        <v>-65.75</v>
      </c>
      <c r="L741" s="445">
        <f t="shared" si="22"/>
        <v>-75.53542699130935</v>
      </c>
      <c r="M741" s="445">
        <f t="shared" si="23"/>
        <v>-43.666038210155861</v>
      </c>
    </row>
    <row r="742" spans="1:13" x14ac:dyDescent="0.3">
      <c r="A742" s="124" t="s">
        <v>547</v>
      </c>
      <c r="B742" s="124" t="s">
        <v>569</v>
      </c>
      <c r="C742" s="124" t="s">
        <v>1056</v>
      </c>
      <c r="D742" s="124" t="s">
        <v>1053</v>
      </c>
      <c r="E742" s="124">
        <v>15.003962111160252</v>
      </c>
      <c r="F742" s="124">
        <v>13.783724015922157</v>
      </c>
      <c r="G742" s="124">
        <v>81.25</v>
      </c>
      <c r="H742" s="124">
        <v>81.25</v>
      </c>
      <c r="I742" s="124">
        <v>66.246037888839751</v>
      </c>
      <c r="J742" s="124">
        <v>95.033724015922161</v>
      </c>
      <c r="K742" s="445">
        <f t="shared" si="21"/>
        <v>-18.75</v>
      </c>
      <c r="L742" s="445">
        <f t="shared" si="22"/>
        <v>-33.753962111160249</v>
      </c>
      <c r="M742" s="445">
        <f t="shared" si="23"/>
        <v>-4.9662759840778392</v>
      </c>
    </row>
    <row r="743" spans="1:13" x14ac:dyDescent="0.3">
      <c r="A743" s="124" t="s">
        <v>547</v>
      </c>
      <c r="B743" s="124" t="s">
        <v>569</v>
      </c>
      <c r="C743" s="146" t="s">
        <v>1057</v>
      </c>
      <c r="D743" s="146" t="s">
        <v>1053</v>
      </c>
      <c r="E743" s="124">
        <v>0</v>
      </c>
      <c r="F743" s="124">
        <v>0</v>
      </c>
      <c r="G743" s="124">
        <v>100</v>
      </c>
      <c r="H743" s="124">
        <v>100</v>
      </c>
      <c r="I743" s="124">
        <v>100</v>
      </c>
      <c r="J743" s="124">
        <v>100</v>
      </c>
      <c r="K743" s="445">
        <f t="shared" si="21"/>
        <v>0</v>
      </c>
      <c r="L743" s="445">
        <f t="shared" si="22"/>
        <v>0</v>
      </c>
      <c r="M743" s="445">
        <f t="shared" si="23"/>
        <v>0</v>
      </c>
    </row>
    <row r="744" spans="1:13" x14ac:dyDescent="0.3">
      <c r="A744" s="124" t="s">
        <v>547</v>
      </c>
      <c r="B744" s="146" t="s">
        <v>569</v>
      </c>
      <c r="C744" s="124" t="s">
        <v>1052</v>
      </c>
      <c r="D744" s="124" t="s">
        <v>1054</v>
      </c>
      <c r="E744" s="124">
        <v>11.892528223410576</v>
      </c>
      <c r="F744" s="124">
        <v>27.915106951871657</v>
      </c>
      <c r="G744" s="124">
        <v>30.5</v>
      </c>
      <c r="H744" s="124">
        <v>30.5</v>
      </c>
      <c r="I744" s="124">
        <v>18.607471776589424</v>
      </c>
      <c r="J744" s="124">
        <v>58.415106951871657</v>
      </c>
      <c r="K744" s="445">
        <f t="shared" si="21"/>
        <v>-69.5</v>
      </c>
      <c r="L744" s="445">
        <f t="shared" si="22"/>
        <v>-81.392528223410579</v>
      </c>
      <c r="M744" s="445">
        <f t="shared" si="23"/>
        <v>-41.584893048128343</v>
      </c>
    </row>
    <row r="745" spans="1:13" x14ac:dyDescent="0.3">
      <c r="A745" s="124" t="s">
        <v>547</v>
      </c>
      <c r="B745" s="124" t="s">
        <v>569</v>
      </c>
      <c r="C745" s="124" t="s">
        <v>1056</v>
      </c>
      <c r="D745" s="124" t="s">
        <v>1054</v>
      </c>
      <c r="E745" s="124">
        <v>16.957264957264957</v>
      </c>
      <c r="F745" s="124">
        <v>14.057692307692307</v>
      </c>
      <c r="G745" s="124">
        <v>74.5</v>
      </c>
      <c r="H745" s="124">
        <v>74.5</v>
      </c>
      <c r="I745" s="124">
        <v>57.542735042735046</v>
      </c>
      <c r="J745" s="124">
        <v>88.557692307692307</v>
      </c>
      <c r="K745" s="445">
        <f t="shared" si="21"/>
        <v>-25.5</v>
      </c>
      <c r="L745" s="445">
        <f t="shared" si="22"/>
        <v>-42.457264957264954</v>
      </c>
      <c r="M745" s="445">
        <f t="shared" si="23"/>
        <v>-11.442307692307693</v>
      </c>
    </row>
    <row r="746" spans="1:13" x14ac:dyDescent="0.3">
      <c r="A746" s="124" t="s">
        <v>547</v>
      </c>
      <c r="B746" s="124" t="s">
        <v>569</v>
      </c>
      <c r="C746" s="124" t="s">
        <v>1057</v>
      </c>
      <c r="D746" s="124" t="s">
        <v>1054</v>
      </c>
      <c r="E746" s="124">
        <v>7.8541021671826616</v>
      </c>
      <c r="F746" s="124">
        <v>5.5665204678362574</v>
      </c>
      <c r="G746" s="124">
        <v>99.375</v>
      </c>
      <c r="H746" s="124">
        <v>99.375</v>
      </c>
      <c r="I746" s="124">
        <v>91.52089783281734</v>
      </c>
      <c r="J746" s="124">
        <v>104.94152046783626</v>
      </c>
      <c r="K746" s="445">
        <f t="shared" si="21"/>
        <v>-0.625</v>
      </c>
      <c r="L746" s="445">
        <f t="shared" si="22"/>
        <v>-8.4791021671826599</v>
      </c>
      <c r="M746" s="445">
        <f t="shared" si="23"/>
        <v>4.9415204678362556</v>
      </c>
    </row>
    <row r="747" spans="1:13" x14ac:dyDescent="0.3">
      <c r="A747" s="124" t="s">
        <v>547</v>
      </c>
      <c r="B747" s="124" t="s">
        <v>569</v>
      </c>
      <c r="C747" s="124" t="s">
        <v>1052</v>
      </c>
      <c r="D747" s="124" t="s">
        <v>1055</v>
      </c>
      <c r="E747" s="124">
        <v>21.10375816993464</v>
      </c>
      <c r="F747" s="124">
        <v>27.396241830065357</v>
      </c>
      <c r="G747" s="124">
        <v>60.625</v>
      </c>
      <c r="H747" s="124">
        <v>60.625</v>
      </c>
      <c r="I747" s="124">
        <v>39.521241830065364</v>
      </c>
      <c r="J747" s="124">
        <v>88.02124183006535</v>
      </c>
      <c r="K747" s="445">
        <f t="shared" si="21"/>
        <v>-39.375</v>
      </c>
      <c r="L747" s="445">
        <f t="shared" si="22"/>
        <v>-60.478758169934636</v>
      </c>
      <c r="M747" s="445">
        <f t="shared" si="23"/>
        <v>-11.97875816993465</v>
      </c>
    </row>
    <row r="748" spans="1:13" x14ac:dyDescent="0.3">
      <c r="A748" s="124" t="s">
        <v>547</v>
      </c>
      <c r="B748" s="146" t="s">
        <v>569</v>
      </c>
      <c r="C748" s="146" t="s">
        <v>1056</v>
      </c>
      <c r="D748" s="146" t="s">
        <v>1055</v>
      </c>
      <c r="E748" s="146">
        <v>20.867339359986417</v>
      </c>
      <c r="F748" s="146">
        <v>15.546961208725914</v>
      </c>
      <c r="G748" s="146">
        <v>89.375</v>
      </c>
      <c r="H748" s="146">
        <v>89.375</v>
      </c>
      <c r="I748" s="146">
        <v>68.507660640013583</v>
      </c>
      <c r="J748" s="146">
        <v>104.92196120872592</v>
      </c>
      <c r="K748" s="445">
        <f t="shared" si="21"/>
        <v>-10.625</v>
      </c>
      <c r="L748" s="445">
        <f t="shared" si="22"/>
        <v>-31.492339359986417</v>
      </c>
      <c r="M748" s="445">
        <f t="shared" si="23"/>
        <v>4.9219612087259179</v>
      </c>
    </row>
    <row r="749" spans="1:13" x14ac:dyDescent="0.3">
      <c r="A749" s="124" t="s">
        <v>547</v>
      </c>
      <c r="B749" s="146" t="s">
        <v>569</v>
      </c>
      <c r="C749" s="146" t="s">
        <v>1057</v>
      </c>
      <c r="D749" s="146" t="s">
        <v>1055</v>
      </c>
      <c r="E749" s="146">
        <v>13.533496732026144</v>
      </c>
      <c r="F749" s="146">
        <v>12.218137254901961</v>
      </c>
      <c r="G749" s="146">
        <v>93.125</v>
      </c>
      <c r="H749" s="146">
        <v>93.125</v>
      </c>
      <c r="I749" s="146">
        <v>79.591503267973849</v>
      </c>
      <c r="J749" s="146">
        <v>105.34313725490196</v>
      </c>
      <c r="K749" s="445">
        <f t="shared" si="21"/>
        <v>-6.875</v>
      </c>
      <c r="L749" s="445">
        <f t="shared" si="22"/>
        <v>-20.408496732026151</v>
      </c>
      <c r="M749" s="445">
        <f t="shared" si="23"/>
        <v>5.3431372549019613</v>
      </c>
    </row>
    <row r="750" spans="1:13" x14ac:dyDescent="0.3">
      <c r="A750" s="124" t="s">
        <v>547</v>
      </c>
      <c r="B750" s="124" t="s">
        <v>571</v>
      </c>
      <c r="C750" s="124" t="s">
        <v>1052</v>
      </c>
      <c r="D750" s="124" t="s">
        <v>1053</v>
      </c>
      <c r="E750" s="124">
        <v>9.785426991309345</v>
      </c>
      <c r="F750" s="124">
        <v>22.083961789844142</v>
      </c>
      <c r="G750" s="124">
        <v>34.25</v>
      </c>
      <c r="H750" s="124">
        <v>34.25</v>
      </c>
      <c r="I750" s="124">
        <v>24.464573008690657</v>
      </c>
      <c r="J750" s="124">
        <v>56.333961789844139</v>
      </c>
      <c r="K750" s="445">
        <f t="shared" si="21"/>
        <v>-65.75</v>
      </c>
      <c r="L750" s="445">
        <f t="shared" si="22"/>
        <v>-75.53542699130935</v>
      </c>
      <c r="M750" s="445">
        <f t="shared" si="23"/>
        <v>-43.666038210155861</v>
      </c>
    </row>
    <row r="751" spans="1:13" x14ac:dyDescent="0.3">
      <c r="A751" s="124" t="s">
        <v>547</v>
      </c>
      <c r="B751" s="124" t="s">
        <v>571</v>
      </c>
      <c r="C751" s="124" t="s">
        <v>1056</v>
      </c>
      <c r="D751" s="124" t="s">
        <v>1053</v>
      </c>
      <c r="E751" s="124">
        <v>15.003962111160252</v>
      </c>
      <c r="F751" s="124">
        <v>13.783724015922157</v>
      </c>
      <c r="G751" s="124">
        <v>81.25</v>
      </c>
      <c r="H751" s="124">
        <v>81.25</v>
      </c>
      <c r="I751" s="124">
        <v>66.246037888839751</v>
      </c>
      <c r="J751" s="124">
        <v>95.033724015922161</v>
      </c>
      <c r="K751" s="445">
        <f t="shared" si="21"/>
        <v>-18.75</v>
      </c>
      <c r="L751" s="445">
        <f t="shared" si="22"/>
        <v>-33.753962111160249</v>
      </c>
      <c r="M751" s="445">
        <f t="shared" si="23"/>
        <v>-4.9662759840778392</v>
      </c>
    </row>
    <row r="752" spans="1:13" x14ac:dyDescent="0.3">
      <c r="A752" s="124" t="s">
        <v>547</v>
      </c>
      <c r="B752" s="124" t="s">
        <v>571</v>
      </c>
      <c r="C752" s="146" t="s">
        <v>1057</v>
      </c>
      <c r="D752" s="146" t="s">
        <v>1053</v>
      </c>
      <c r="E752" s="124">
        <v>0</v>
      </c>
      <c r="F752" s="124">
        <v>0</v>
      </c>
      <c r="G752" s="124">
        <v>100</v>
      </c>
      <c r="H752" s="124">
        <v>100</v>
      </c>
      <c r="I752" s="124">
        <v>100</v>
      </c>
      <c r="J752" s="124">
        <v>100</v>
      </c>
      <c r="K752" s="445">
        <f t="shared" si="21"/>
        <v>0</v>
      </c>
      <c r="L752" s="445">
        <f t="shared" si="22"/>
        <v>0</v>
      </c>
      <c r="M752" s="445">
        <f t="shared" si="23"/>
        <v>0</v>
      </c>
    </row>
    <row r="753" spans="1:13" x14ac:dyDescent="0.3">
      <c r="A753" s="124" t="s">
        <v>547</v>
      </c>
      <c r="B753" s="146" t="s">
        <v>571</v>
      </c>
      <c r="C753" s="146" t="s">
        <v>1052</v>
      </c>
      <c r="D753" s="146" t="s">
        <v>1054</v>
      </c>
      <c r="E753" s="146">
        <v>11.892528223410576</v>
      </c>
      <c r="F753" s="146">
        <v>27.915106951871657</v>
      </c>
      <c r="G753" s="146">
        <v>30.5</v>
      </c>
      <c r="H753" s="146">
        <v>30.5</v>
      </c>
      <c r="I753" s="146">
        <v>18.607471776589424</v>
      </c>
      <c r="J753" s="146">
        <v>58.415106951871657</v>
      </c>
      <c r="K753" s="445">
        <f t="shared" si="21"/>
        <v>-69.5</v>
      </c>
      <c r="L753" s="445">
        <f t="shared" si="22"/>
        <v>-81.392528223410579</v>
      </c>
      <c r="M753" s="445">
        <f t="shared" si="23"/>
        <v>-41.584893048128343</v>
      </c>
    </row>
    <row r="754" spans="1:13" x14ac:dyDescent="0.3">
      <c r="A754" s="124" t="s">
        <v>547</v>
      </c>
      <c r="B754" s="124" t="s">
        <v>571</v>
      </c>
      <c r="C754" s="124" t="s">
        <v>1056</v>
      </c>
      <c r="D754" s="124" t="s">
        <v>1054</v>
      </c>
      <c r="E754" s="124">
        <v>16.957264957264957</v>
      </c>
      <c r="F754" s="124">
        <v>14.057692307692307</v>
      </c>
      <c r="G754" s="124">
        <v>74.5</v>
      </c>
      <c r="H754" s="124">
        <v>74.5</v>
      </c>
      <c r="I754" s="124">
        <v>57.542735042735046</v>
      </c>
      <c r="J754" s="124">
        <v>88.557692307692307</v>
      </c>
      <c r="K754" s="445">
        <f t="shared" si="21"/>
        <v>-25.5</v>
      </c>
      <c r="L754" s="445">
        <f t="shared" si="22"/>
        <v>-42.457264957264954</v>
      </c>
      <c r="M754" s="445">
        <f t="shared" si="23"/>
        <v>-11.442307692307693</v>
      </c>
    </row>
    <row r="755" spans="1:13" x14ac:dyDescent="0.3">
      <c r="A755" s="124" t="s">
        <v>547</v>
      </c>
      <c r="B755" s="124" t="s">
        <v>571</v>
      </c>
      <c r="C755" s="124" t="s">
        <v>1057</v>
      </c>
      <c r="D755" s="124" t="s">
        <v>1054</v>
      </c>
      <c r="E755" s="124">
        <v>7.8541021671826616</v>
      </c>
      <c r="F755" s="124">
        <v>5.5665204678362574</v>
      </c>
      <c r="G755" s="124">
        <v>99.375</v>
      </c>
      <c r="H755" s="124">
        <v>99.375</v>
      </c>
      <c r="I755" s="124">
        <v>91.52089783281734</v>
      </c>
      <c r="J755" s="124">
        <v>104.94152046783626</v>
      </c>
      <c r="K755" s="445">
        <f t="shared" si="21"/>
        <v>-0.625</v>
      </c>
      <c r="L755" s="445">
        <f t="shared" si="22"/>
        <v>-8.4791021671826599</v>
      </c>
      <c r="M755" s="445">
        <f t="shared" si="23"/>
        <v>4.9415204678362556</v>
      </c>
    </row>
    <row r="756" spans="1:13" x14ac:dyDescent="0.3">
      <c r="A756" s="124" t="s">
        <v>547</v>
      </c>
      <c r="B756" s="124" t="s">
        <v>571</v>
      </c>
      <c r="C756" s="124" t="s">
        <v>1052</v>
      </c>
      <c r="D756" s="124" t="s">
        <v>1055</v>
      </c>
      <c r="E756" s="124">
        <v>21.10375816993464</v>
      </c>
      <c r="F756" s="124">
        <v>27.396241830065357</v>
      </c>
      <c r="G756" s="124">
        <v>60.625</v>
      </c>
      <c r="H756" s="124">
        <v>60.625</v>
      </c>
      <c r="I756" s="124">
        <v>39.521241830065364</v>
      </c>
      <c r="J756" s="124">
        <v>88.02124183006535</v>
      </c>
      <c r="K756" s="445">
        <f t="shared" si="21"/>
        <v>-39.375</v>
      </c>
      <c r="L756" s="445">
        <f t="shared" si="22"/>
        <v>-60.478758169934636</v>
      </c>
      <c r="M756" s="445">
        <f t="shared" si="23"/>
        <v>-11.97875816993465</v>
      </c>
    </row>
    <row r="757" spans="1:13" x14ac:dyDescent="0.3">
      <c r="A757" s="124" t="s">
        <v>547</v>
      </c>
      <c r="B757" s="146" t="s">
        <v>571</v>
      </c>
      <c r="C757" s="146" t="s">
        <v>1056</v>
      </c>
      <c r="D757" s="124" t="s">
        <v>1055</v>
      </c>
      <c r="E757" s="146">
        <v>20.867339359986417</v>
      </c>
      <c r="F757" s="124">
        <v>15.546961208725914</v>
      </c>
      <c r="G757" s="124">
        <v>89.375</v>
      </c>
      <c r="H757" s="124">
        <v>89.375</v>
      </c>
      <c r="I757" s="124">
        <v>68.507660640013583</v>
      </c>
      <c r="J757" s="124">
        <v>104.92196120872592</v>
      </c>
      <c r="K757" s="445">
        <f t="shared" si="21"/>
        <v>-10.625</v>
      </c>
      <c r="L757" s="445">
        <f t="shared" si="22"/>
        <v>-31.492339359986417</v>
      </c>
      <c r="M757" s="445">
        <f t="shared" si="23"/>
        <v>4.9219612087259179</v>
      </c>
    </row>
    <row r="758" spans="1:13" x14ac:dyDescent="0.3">
      <c r="A758" s="124" t="s">
        <v>547</v>
      </c>
      <c r="B758" s="146" t="s">
        <v>571</v>
      </c>
      <c r="C758" s="146" t="s">
        <v>1057</v>
      </c>
      <c r="D758" s="146" t="s">
        <v>1055</v>
      </c>
      <c r="E758" s="146">
        <v>13.533496732026144</v>
      </c>
      <c r="F758" s="146">
        <v>12.218137254901961</v>
      </c>
      <c r="G758" s="146">
        <v>93.125</v>
      </c>
      <c r="H758" s="146">
        <v>93.125</v>
      </c>
      <c r="I758" s="146">
        <v>79.591503267973849</v>
      </c>
      <c r="J758" s="146">
        <v>105.34313725490196</v>
      </c>
      <c r="K758" s="445">
        <f t="shared" si="21"/>
        <v>-6.875</v>
      </c>
      <c r="L758" s="445">
        <f t="shared" si="22"/>
        <v>-20.408496732026151</v>
      </c>
      <c r="M758" s="445">
        <f t="shared" si="23"/>
        <v>5.3431372549019613</v>
      </c>
    </row>
    <row r="759" spans="1:13" x14ac:dyDescent="0.3">
      <c r="A759" s="124" t="s">
        <v>547</v>
      </c>
      <c r="B759" s="124" t="s">
        <v>572</v>
      </c>
      <c r="C759" s="124" t="s">
        <v>1052</v>
      </c>
      <c r="D759" s="124" t="s">
        <v>1053</v>
      </c>
      <c r="E759" s="124">
        <v>9.785426991309345</v>
      </c>
      <c r="F759" s="124">
        <v>22.083961789844142</v>
      </c>
      <c r="G759" s="124">
        <v>34.25</v>
      </c>
      <c r="H759" s="124">
        <v>34.25</v>
      </c>
      <c r="I759" s="124">
        <v>24.464573008690657</v>
      </c>
      <c r="J759" s="124">
        <v>56.333961789844139</v>
      </c>
      <c r="K759" s="445">
        <f t="shared" si="21"/>
        <v>-65.75</v>
      </c>
      <c r="L759" s="445">
        <f t="shared" si="22"/>
        <v>-75.53542699130935</v>
      </c>
      <c r="M759" s="445">
        <f t="shared" si="23"/>
        <v>-43.666038210155861</v>
      </c>
    </row>
    <row r="760" spans="1:13" x14ac:dyDescent="0.3">
      <c r="A760" s="124" t="s">
        <v>547</v>
      </c>
      <c r="B760" s="124" t="s">
        <v>572</v>
      </c>
      <c r="C760" s="124" t="s">
        <v>1056</v>
      </c>
      <c r="D760" s="124" t="s">
        <v>1053</v>
      </c>
      <c r="E760" s="124">
        <v>15.003962111160252</v>
      </c>
      <c r="F760" s="124">
        <v>13.783724015922157</v>
      </c>
      <c r="G760" s="124">
        <v>81.25</v>
      </c>
      <c r="H760" s="124">
        <v>81.25</v>
      </c>
      <c r="I760" s="124">
        <v>66.246037888839751</v>
      </c>
      <c r="J760" s="124">
        <v>95.033724015922161</v>
      </c>
      <c r="K760" s="445">
        <f t="shared" si="21"/>
        <v>-18.75</v>
      </c>
      <c r="L760" s="445">
        <f t="shared" si="22"/>
        <v>-33.753962111160249</v>
      </c>
      <c r="M760" s="445">
        <f t="shared" si="23"/>
        <v>-4.9662759840778392</v>
      </c>
    </row>
    <row r="761" spans="1:13" x14ac:dyDescent="0.3">
      <c r="A761" s="124" t="s">
        <v>547</v>
      </c>
      <c r="B761" s="124" t="s">
        <v>572</v>
      </c>
      <c r="C761" s="146" t="s">
        <v>1057</v>
      </c>
      <c r="D761" s="146" t="s">
        <v>1053</v>
      </c>
      <c r="E761" s="124">
        <v>0</v>
      </c>
      <c r="F761" s="124">
        <v>0</v>
      </c>
      <c r="G761" s="124">
        <v>100</v>
      </c>
      <c r="H761" s="124">
        <v>100</v>
      </c>
      <c r="I761" s="124">
        <v>100</v>
      </c>
      <c r="J761" s="124">
        <v>100</v>
      </c>
      <c r="K761" s="445">
        <f t="shared" si="21"/>
        <v>0</v>
      </c>
      <c r="L761" s="445">
        <f t="shared" si="22"/>
        <v>0</v>
      </c>
      <c r="M761" s="445">
        <f t="shared" si="23"/>
        <v>0</v>
      </c>
    </row>
    <row r="762" spans="1:13" x14ac:dyDescent="0.3">
      <c r="A762" s="124" t="s">
        <v>547</v>
      </c>
      <c r="B762" s="146" t="s">
        <v>572</v>
      </c>
      <c r="C762" s="124" t="s">
        <v>1052</v>
      </c>
      <c r="D762" s="146" t="s">
        <v>1054</v>
      </c>
      <c r="E762" s="124">
        <v>11.892528223410576</v>
      </c>
      <c r="F762" s="124">
        <v>27.915106951871657</v>
      </c>
      <c r="G762" s="124">
        <v>30.5</v>
      </c>
      <c r="H762" s="124">
        <v>30.5</v>
      </c>
      <c r="I762" s="124">
        <v>18.607471776589424</v>
      </c>
      <c r="J762" s="124">
        <v>58.415106951871657</v>
      </c>
      <c r="K762" s="445">
        <f t="shared" si="21"/>
        <v>-69.5</v>
      </c>
      <c r="L762" s="445">
        <f t="shared" si="22"/>
        <v>-81.392528223410579</v>
      </c>
      <c r="M762" s="445">
        <f t="shared" si="23"/>
        <v>-41.584893048128343</v>
      </c>
    </row>
    <row r="763" spans="1:13" x14ac:dyDescent="0.3">
      <c r="A763" s="124" t="s">
        <v>547</v>
      </c>
      <c r="B763" s="124" t="s">
        <v>572</v>
      </c>
      <c r="C763" s="124" t="s">
        <v>1056</v>
      </c>
      <c r="D763" s="124" t="s">
        <v>1054</v>
      </c>
      <c r="E763" s="124">
        <v>16.957264957264957</v>
      </c>
      <c r="F763" s="124">
        <v>14.057692307692307</v>
      </c>
      <c r="G763" s="124">
        <v>74.5</v>
      </c>
      <c r="H763" s="124">
        <v>74.5</v>
      </c>
      <c r="I763" s="124">
        <v>57.542735042735046</v>
      </c>
      <c r="J763" s="124">
        <v>88.557692307692307</v>
      </c>
      <c r="K763" s="445">
        <f t="shared" si="21"/>
        <v>-25.5</v>
      </c>
      <c r="L763" s="445">
        <f t="shared" si="22"/>
        <v>-42.457264957264954</v>
      </c>
      <c r="M763" s="445">
        <f t="shared" si="23"/>
        <v>-11.442307692307693</v>
      </c>
    </row>
    <row r="764" spans="1:13" x14ac:dyDescent="0.3">
      <c r="A764" s="124" t="s">
        <v>547</v>
      </c>
      <c r="B764" s="124" t="s">
        <v>572</v>
      </c>
      <c r="C764" s="124" t="s">
        <v>1057</v>
      </c>
      <c r="D764" s="124" t="s">
        <v>1054</v>
      </c>
      <c r="E764" s="124">
        <v>7.8541021671826616</v>
      </c>
      <c r="F764" s="124">
        <v>5.5665204678362574</v>
      </c>
      <c r="G764" s="124">
        <v>99.375</v>
      </c>
      <c r="H764" s="124">
        <v>99.375</v>
      </c>
      <c r="I764" s="124">
        <v>91.52089783281734</v>
      </c>
      <c r="J764" s="124">
        <v>104.94152046783626</v>
      </c>
      <c r="K764" s="445">
        <f t="shared" si="21"/>
        <v>-0.625</v>
      </c>
      <c r="L764" s="445">
        <f t="shared" si="22"/>
        <v>-8.4791021671826599</v>
      </c>
      <c r="M764" s="445">
        <f t="shared" si="23"/>
        <v>4.9415204678362556</v>
      </c>
    </row>
    <row r="765" spans="1:13" x14ac:dyDescent="0.3">
      <c r="A765" s="124" t="s">
        <v>547</v>
      </c>
      <c r="B765" s="124" t="s">
        <v>572</v>
      </c>
      <c r="C765" s="124" t="s">
        <v>1052</v>
      </c>
      <c r="D765" s="124" t="s">
        <v>1055</v>
      </c>
      <c r="E765" s="124">
        <v>21.10375816993464</v>
      </c>
      <c r="F765" s="124">
        <v>27.396241830065357</v>
      </c>
      <c r="G765" s="124">
        <v>60.625</v>
      </c>
      <c r="H765" s="124">
        <v>60.625</v>
      </c>
      <c r="I765" s="124">
        <v>39.521241830065364</v>
      </c>
      <c r="J765" s="124">
        <v>88.02124183006535</v>
      </c>
      <c r="K765" s="445">
        <f t="shared" si="21"/>
        <v>-39.375</v>
      </c>
      <c r="L765" s="445">
        <f t="shared" si="22"/>
        <v>-60.478758169934636</v>
      </c>
      <c r="M765" s="445">
        <f t="shared" si="23"/>
        <v>-11.97875816993465</v>
      </c>
    </row>
    <row r="766" spans="1:13" x14ac:dyDescent="0.3">
      <c r="A766" s="124" t="s">
        <v>547</v>
      </c>
      <c r="B766" s="146" t="s">
        <v>572</v>
      </c>
      <c r="C766" s="146" t="s">
        <v>1056</v>
      </c>
      <c r="D766" s="146" t="s">
        <v>1055</v>
      </c>
      <c r="E766" s="146">
        <v>20.867339359986417</v>
      </c>
      <c r="F766" s="146">
        <v>15.546961208725914</v>
      </c>
      <c r="G766" s="146">
        <v>89.375</v>
      </c>
      <c r="H766" s="146">
        <v>89.375</v>
      </c>
      <c r="I766" s="146">
        <v>68.507660640013583</v>
      </c>
      <c r="J766" s="146">
        <v>104.92196120872592</v>
      </c>
      <c r="K766" s="445">
        <f t="shared" si="21"/>
        <v>-10.625</v>
      </c>
      <c r="L766" s="445">
        <f t="shared" si="22"/>
        <v>-31.492339359986417</v>
      </c>
      <c r="M766" s="445">
        <f t="shared" si="23"/>
        <v>4.9219612087259179</v>
      </c>
    </row>
    <row r="767" spans="1:13" x14ac:dyDescent="0.3">
      <c r="A767" s="124" t="s">
        <v>547</v>
      </c>
      <c r="B767" s="146" t="s">
        <v>572</v>
      </c>
      <c r="C767" s="146" t="s">
        <v>1057</v>
      </c>
      <c r="D767" s="146" t="s">
        <v>1055</v>
      </c>
      <c r="E767" s="146">
        <v>13.533496732026144</v>
      </c>
      <c r="F767" s="146">
        <v>12.218137254901961</v>
      </c>
      <c r="G767" s="146">
        <v>93.125</v>
      </c>
      <c r="H767" s="146">
        <v>93.125</v>
      </c>
      <c r="I767" s="146">
        <v>79.591503267973849</v>
      </c>
      <c r="J767" s="146">
        <v>105.34313725490196</v>
      </c>
      <c r="K767" s="445">
        <f t="shared" ref="K767:K830" si="24">0-(100-H767)</f>
        <v>-6.875</v>
      </c>
      <c r="L767" s="445">
        <f t="shared" ref="L767:L830" si="25">0-(100-I767)</f>
        <v>-20.408496732026151</v>
      </c>
      <c r="M767" s="445">
        <f t="shared" ref="M767:M830" si="26">0-(100-J767)</f>
        <v>5.3431372549019613</v>
      </c>
    </row>
    <row r="768" spans="1:13" x14ac:dyDescent="0.3">
      <c r="A768" s="124" t="s">
        <v>547</v>
      </c>
      <c r="B768" s="124" t="s">
        <v>1076</v>
      </c>
      <c r="C768" s="124" t="s">
        <v>1052</v>
      </c>
      <c r="D768" s="124" t="s">
        <v>1053</v>
      </c>
      <c r="E768" s="124">
        <v>14.191543283980256</v>
      </c>
      <c r="F768" s="124">
        <v>18.939842603708147</v>
      </c>
      <c r="G768" s="124">
        <v>41.857142857142854</v>
      </c>
      <c r="H768" s="124">
        <v>41.857142857142854</v>
      </c>
      <c r="I768" s="124">
        <v>27.665599573162599</v>
      </c>
      <c r="J768" s="124">
        <v>60.796985460851005</v>
      </c>
      <c r="K768" s="445">
        <f t="shared" si="24"/>
        <v>-58.142857142857146</v>
      </c>
      <c r="L768" s="445">
        <f t="shared" si="25"/>
        <v>-72.334400426837405</v>
      </c>
      <c r="M768" s="445">
        <f t="shared" si="26"/>
        <v>-39.203014539148995</v>
      </c>
    </row>
    <row r="769" spans="1:13" x14ac:dyDescent="0.3">
      <c r="A769" s="124" t="s">
        <v>547</v>
      </c>
      <c r="B769" s="124" t="s">
        <v>1076</v>
      </c>
      <c r="C769" s="124" t="s">
        <v>1056</v>
      </c>
      <c r="D769" s="124" t="s">
        <v>1053</v>
      </c>
      <c r="E769" s="124">
        <v>14.755221386800335</v>
      </c>
      <c r="F769" s="124">
        <v>12.950710108604843</v>
      </c>
      <c r="G769" s="124">
        <v>87.857142857142861</v>
      </c>
      <c r="H769" s="124">
        <v>87.857142857142861</v>
      </c>
      <c r="I769" s="124">
        <v>73.101921470342532</v>
      </c>
      <c r="J769" s="124">
        <v>100.8078529657477</v>
      </c>
      <c r="K769" s="445">
        <f t="shared" si="24"/>
        <v>-12.142857142857139</v>
      </c>
      <c r="L769" s="445">
        <f t="shared" si="25"/>
        <v>-26.898078529657468</v>
      </c>
      <c r="M769" s="445">
        <f t="shared" si="26"/>
        <v>0.80785296574769916</v>
      </c>
    </row>
    <row r="770" spans="1:13" x14ac:dyDescent="0.3">
      <c r="A770" s="124" t="s">
        <v>547</v>
      </c>
      <c r="B770" s="124" t="s">
        <v>1076</v>
      </c>
      <c r="C770" s="146" t="s">
        <v>1057</v>
      </c>
      <c r="D770" s="146" t="s">
        <v>1053</v>
      </c>
      <c r="E770" s="124">
        <v>0</v>
      </c>
      <c r="F770" s="124">
        <v>0</v>
      </c>
      <c r="G770" s="124">
        <v>100</v>
      </c>
      <c r="H770" s="124">
        <v>100</v>
      </c>
      <c r="I770" s="124">
        <v>100</v>
      </c>
      <c r="J770" s="124">
        <v>100</v>
      </c>
      <c r="K770" s="445">
        <f t="shared" si="24"/>
        <v>0</v>
      </c>
      <c r="L770" s="445">
        <f t="shared" si="25"/>
        <v>0</v>
      </c>
      <c r="M770" s="445">
        <f t="shared" si="26"/>
        <v>0</v>
      </c>
    </row>
    <row r="771" spans="1:13" x14ac:dyDescent="0.3">
      <c r="A771" s="124" t="s">
        <v>547</v>
      </c>
      <c r="B771" s="146" t="s">
        <v>1076</v>
      </c>
      <c r="C771" s="124" t="s">
        <v>1052</v>
      </c>
      <c r="D771" s="146" t="s">
        <v>1054</v>
      </c>
      <c r="E771" s="124">
        <v>11.384287048152592</v>
      </c>
      <c r="F771" s="124">
        <v>14.336668000533546</v>
      </c>
      <c r="G771" s="124">
        <v>31.428571428571427</v>
      </c>
      <c r="H771" s="124">
        <v>31.428571428571427</v>
      </c>
      <c r="I771" s="124">
        <v>20.044284380418837</v>
      </c>
      <c r="J771" s="124">
        <v>45.765239429104973</v>
      </c>
      <c r="K771" s="445">
        <f t="shared" si="24"/>
        <v>-68.571428571428569</v>
      </c>
      <c r="L771" s="445">
        <f t="shared" si="25"/>
        <v>-79.955715619581156</v>
      </c>
      <c r="M771" s="445">
        <f t="shared" si="26"/>
        <v>-54.234760570895027</v>
      </c>
    </row>
    <row r="772" spans="1:13" x14ac:dyDescent="0.3">
      <c r="A772" s="124" t="s">
        <v>547</v>
      </c>
      <c r="B772" s="124" t="s">
        <v>1076</v>
      </c>
      <c r="C772" s="124" t="s">
        <v>1056</v>
      </c>
      <c r="D772" s="124" t="s">
        <v>1054</v>
      </c>
      <c r="E772" s="124">
        <v>18.233560090702948</v>
      </c>
      <c r="F772" s="124">
        <v>11.693877551020408</v>
      </c>
      <c r="G772" s="124">
        <v>79.714285714285708</v>
      </c>
      <c r="H772" s="124">
        <v>79.714285714285708</v>
      </c>
      <c r="I772" s="124">
        <v>61.480725623582757</v>
      </c>
      <c r="J772" s="124">
        <v>91.408163265306115</v>
      </c>
      <c r="K772" s="445">
        <f t="shared" si="24"/>
        <v>-20.285714285714292</v>
      </c>
      <c r="L772" s="445">
        <f t="shared" si="25"/>
        <v>-38.519274376417243</v>
      </c>
      <c r="M772" s="445">
        <f t="shared" si="26"/>
        <v>-8.5918367346938851</v>
      </c>
    </row>
    <row r="773" spans="1:13" x14ac:dyDescent="0.3">
      <c r="A773" s="124" t="s">
        <v>547</v>
      </c>
      <c r="B773" s="124" t="s">
        <v>1076</v>
      </c>
      <c r="C773" s="124" t="s">
        <v>1057</v>
      </c>
      <c r="D773" s="124" t="s">
        <v>1054</v>
      </c>
      <c r="E773" s="124">
        <v>7.4285714285714288</v>
      </c>
      <c r="F773" s="124">
        <v>6.5396825396825395</v>
      </c>
      <c r="G773" s="124">
        <v>97.285714285714292</v>
      </c>
      <c r="H773" s="124">
        <v>97.285714285714292</v>
      </c>
      <c r="I773" s="124">
        <v>89.857142857142861</v>
      </c>
      <c r="J773" s="124">
        <v>103.82539682539684</v>
      </c>
      <c r="K773" s="445">
        <f t="shared" si="24"/>
        <v>-2.7142857142857082</v>
      </c>
      <c r="L773" s="445">
        <f t="shared" si="25"/>
        <v>-10.142857142857139</v>
      </c>
      <c r="M773" s="445">
        <f t="shared" si="26"/>
        <v>3.8253968253968367</v>
      </c>
    </row>
    <row r="774" spans="1:13" x14ac:dyDescent="0.3">
      <c r="A774" s="124" t="s">
        <v>547</v>
      </c>
      <c r="B774" s="124" t="s">
        <v>1076</v>
      </c>
      <c r="C774" s="124" t="s">
        <v>1052</v>
      </c>
      <c r="D774" s="124" t="s">
        <v>1055</v>
      </c>
      <c r="E774" s="124">
        <v>25.631319194344403</v>
      </c>
      <c r="F774" s="124">
        <v>16.428438041883421</v>
      </c>
      <c r="G774" s="124">
        <v>47.142857142857146</v>
      </c>
      <c r="H774" s="124">
        <v>47.142857142857146</v>
      </c>
      <c r="I774" s="124">
        <v>21.511537948512743</v>
      </c>
      <c r="J774" s="124">
        <v>63.571295184740563</v>
      </c>
      <c r="K774" s="445">
        <f t="shared" si="24"/>
        <v>-52.857142857142854</v>
      </c>
      <c r="L774" s="445">
        <f t="shared" si="25"/>
        <v>-78.488462051487261</v>
      </c>
      <c r="M774" s="445">
        <f t="shared" si="26"/>
        <v>-36.428704815259437</v>
      </c>
    </row>
    <row r="775" spans="1:13" x14ac:dyDescent="0.3">
      <c r="A775" s="124" t="s">
        <v>547</v>
      </c>
      <c r="B775" s="146" t="s">
        <v>1076</v>
      </c>
      <c r="C775" s="146" t="s">
        <v>1056</v>
      </c>
      <c r="D775" s="124" t="s">
        <v>1055</v>
      </c>
      <c r="E775" s="146">
        <v>22.540482859810588</v>
      </c>
      <c r="F775" s="124">
        <v>14.532479658530077</v>
      </c>
      <c r="G775" s="124">
        <v>85</v>
      </c>
      <c r="H775" s="124">
        <v>85</v>
      </c>
      <c r="I775" s="124">
        <v>62.459517140189412</v>
      </c>
      <c r="J775" s="124">
        <v>99.532479658530079</v>
      </c>
      <c r="K775" s="445">
        <f t="shared" si="24"/>
        <v>-15</v>
      </c>
      <c r="L775" s="445">
        <f t="shared" si="25"/>
        <v>-37.540482859810588</v>
      </c>
      <c r="M775" s="445">
        <f t="shared" si="26"/>
        <v>-0.46752034146992116</v>
      </c>
    </row>
    <row r="776" spans="1:13" x14ac:dyDescent="0.3">
      <c r="A776" s="124" t="s">
        <v>547</v>
      </c>
      <c r="B776" s="146" t="s">
        <v>1076</v>
      </c>
      <c r="C776" s="146" t="s">
        <v>1057</v>
      </c>
      <c r="D776" s="124" t="s">
        <v>1055</v>
      </c>
      <c r="E776" s="146">
        <v>16.25079365079365</v>
      </c>
      <c r="F776" s="124">
        <v>11.019047619047617</v>
      </c>
      <c r="G776" s="124">
        <v>90.857142857142861</v>
      </c>
      <c r="H776" s="124">
        <v>90.857142857142861</v>
      </c>
      <c r="I776" s="124">
        <v>74.606349206349208</v>
      </c>
      <c r="J776" s="124">
        <v>101.87619047619047</v>
      </c>
      <c r="K776" s="445">
        <f t="shared" si="24"/>
        <v>-9.1428571428571388</v>
      </c>
      <c r="L776" s="445">
        <f t="shared" si="25"/>
        <v>-25.393650793650792</v>
      </c>
      <c r="M776" s="445">
        <f t="shared" si="26"/>
        <v>1.8761904761904731</v>
      </c>
    </row>
    <row r="777" spans="1:13" x14ac:dyDescent="0.3">
      <c r="A777" s="124" t="s">
        <v>547</v>
      </c>
      <c r="B777" s="124" t="s">
        <v>576</v>
      </c>
      <c r="C777" s="124" t="s">
        <v>1052</v>
      </c>
      <c r="D777" s="124" t="s">
        <v>1053</v>
      </c>
      <c r="E777" s="124">
        <v>18.276515151515152</v>
      </c>
      <c r="F777" s="124">
        <v>23.996212121212121</v>
      </c>
      <c r="G777" s="124">
        <v>47.75</v>
      </c>
      <c r="H777" s="124">
        <v>47.75</v>
      </c>
      <c r="I777" s="124">
        <v>29.473484848484848</v>
      </c>
      <c r="J777" s="124">
        <v>71.746212121212125</v>
      </c>
      <c r="K777" s="445">
        <f t="shared" si="24"/>
        <v>-52.25</v>
      </c>
      <c r="L777" s="445">
        <f t="shared" si="25"/>
        <v>-70.526515151515156</v>
      </c>
      <c r="M777" s="445">
        <f t="shared" si="26"/>
        <v>-28.253787878787875</v>
      </c>
    </row>
    <row r="778" spans="1:13" x14ac:dyDescent="0.3">
      <c r="A778" s="124" t="s">
        <v>547</v>
      </c>
      <c r="B778" s="124" t="s">
        <v>576</v>
      </c>
      <c r="C778" s="124" t="s">
        <v>1056</v>
      </c>
      <c r="D778" s="124" t="s">
        <v>1053</v>
      </c>
      <c r="E778" s="124">
        <v>13.903860028860029</v>
      </c>
      <c r="F778" s="124">
        <v>20.706890331890335</v>
      </c>
      <c r="G778" s="124">
        <v>89.375</v>
      </c>
      <c r="H778" s="124">
        <v>89.375</v>
      </c>
      <c r="I778" s="124">
        <v>75.471139971139976</v>
      </c>
      <c r="J778" s="124">
        <v>110.08189033189034</v>
      </c>
      <c r="K778" s="445">
        <f t="shared" si="24"/>
        <v>-10.625</v>
      </c>
      <c r="L778" s="445">
        <f t="shared" si="25"/>
        <v>-24.528860028860024</v>
      </c>
      <c r="M778" s="445">
        <f t="shared" si="26"/>
        <v>10.081890331890335</v>
      </c>
    </row>
    <row r="779" spans="1:13" x14ac:dyDescent="0.3">
      <c r="A779" s="124" t="s">
        <v>547</v>
      </c>
      <c r="B779" s="146" t="s">
        <v>576</v>
      </c>
      <c r="C779" s="146" t="s">
        <v>1057</v>
      </c>
      <c r="D779" s="146" t="s">
        <v>1053</v>
      </c>
      <c r="E779" s="124">
        <v>0</v>
      </c>
      <c r="F779" s="124">
        <v>0</v>
      </c>
      <c r="G779" s="124">
        <v>100</v>
      </c>
      <c r="H779" s="124">
        <v>100</v>
      </c>
      <c r="I779" s="124">
        <v>100</v>
      </c>
      <c r="J779" s="124">
        <v>100</v>
      </c>
      <c r="K779" s="445">
        <f t="shared" si="24"/>
        <v>0</v>
      </c>
      <c r="L779" s="445">
        <f t="shared" si="25"/>
        <v>0</v>
      </c>
      <c r="M779" s="445">
        <f t="shared" si="26"/>
        <v>0</v>
      </c>
    </row>
    <row r="780" spans="1:13" x14ac:dyDescent="0.3">
      <c r="A780" s="124" t="s">
        <v>547</v>
      </c>
      <c r="B780" s="146" t="s">
        <v>576</v>
      </c>
      <c r="C780" s="124" t="s">
        <v>1052</v>
      </c>
      <c r="D780" s="124" t="s">
        <v>1054</v>
      </c>
      <c r="E780" s="124">
        <v>15.833333333333332</v>
      </c>
      <c r="F780" s="124">
        <v>22.827380952380953</v>
      </c>
      <c r="G780" s="124">
        <v>37.5</v>
      </c>
      <c r="H780" s="124">
        <v>37.5</v>
      </c>
      <c r="I780" s="124">
        <v>21.666666666666668</v>
      </c>
      <c r="J780" s="124">
        <v>60.327380952380949</v>
      </c>
      <c r="K780" s="445">
        <f t="shared" si="24"/>
        <v>-62.5</v>
      </c>
      <c r="L780" s="445">
        <f t="shared" si="25"/>
        <v>-78.333333333333329</v>
      </c>
      <c r="M780" s="445">
        <f t="shared" si="26"/>
        <v>-39.672619047619051</v>
      </c>
    </row>
    <row r="781" spans="1:13" x14ac:dyDescent="0.3">
      <c r="A781" s="124" t="s">
        <v>547</v>
      </c>
      <c r="B781" s="124" t="s">
        <v>576</v>
      </c>
      <c r="C781" s="124" t="s">
        <v>1056</v>
      </c>
      <c r="D781" s="124" t="s">
        <v>1054</v>
      </c>
      <c r="E781" s="124">
        <v>11.450280112044817</v>
      </c>
      <c r="F781" s="124">
        <v>12.427521008403358</v>
      </c>
      <c r="G781" s="124">
        <v>80.625</v>
      </c>
      <c r="H781" s="124">
        <v>80.625</v>
      </c>
      <c r="I781" s="124">
        <v>69.174719887955177</v>
      </c>
      <c r="J781" s="124">
        <v>93.05252100840336</v>
      </c>
      <c r="K781" s="445">
        <f t="shared" si="24"/>
        <v>-19.375</v>
      </c>
      <c r="L781" s="445">
        <f t="shared" si="25"/>
        <v>-30.825280112044823</v>
      </c>
      <c r="M781" s="445">
        <f t="shared" si="26"/>
        <v>-6.9474789915966397</v>
      </c>
    </row>
    <row r="782" spans="1:13" x14ac:dyDescent="0.3">
      <c r="A782" s="124" t="s">
        <v>547</v>
      </c>
      <c r="B782" s="124" t="s">
        <v>576</v>
      </c>
      <c r="C782" s="124" t="s">
        <v>1057</v>
      </c>
      <c r="D782" s="124" t="s">
        <v>1054</v>
      </c>
      <c r="E782" s="124">
        <v>5.0277777777777777</v>
      </c>
      <c r="F782" s="124">
        <v>4.5277777777777786</v>
      </c>
      <c r="G782" s="124">
        <v>99</v>
      </c>
      <c r="H782" s="124">
        <v>99</v>
      </c>
      <c r="I782" s="124">
        <v>93.972222222222229</v>
      </c>
      <c r="J782" s="124">
        <v>103.52777777777777</v>
      </c>
      <c r="K782" s="445">
        <f t="shared" si="24"/>
        <v>-1</v>
      </c>
      <c r="L782" s="445">
        <f t="shared" si="25"/>
        <v>-6.0277777777777715</v>
      </c>
      <c r="M782" s="445">
        <f t="shared" si="26"/>
        <v>3.5277777777777715</v>
      </c>
    </row>
    <row r="783" spans="1:13" x14ac:dyDescent="0.3">
      <c r="A783" s="124" t="s">
        <v>547</v>
      </c>
      <c r="B783" s="124" t="s">
        <v>576</v>
      </c>
      <c r="C783" s="124" t="s">
        <v>1052</v>
      </c>
      <c r="D783" s="124" t="s">
        <v>1055</v>
      </c>
      <c r="E783" s="124">
        <v>20.666666666666664</v>
      </c>
      <c r="F783" s="124">
        <v>20.666666666666664</v>
      </c>
      <c r="G783" s="124">
        <v>55.25</v>
      </c>
      <c r="H783" s="124">
        <v>55.25</v>
      </c>
      <c r="I783" s="124">
        <v>34.583333333333336</v>
      </c>
      <c r="J783" s="124">
        <v>75.916666666666657</v>
      </c>
      <c r="K783" s="445">
        <f t="shared" si="24"/>
        <v>-44.75</v>
      </c>
      <c r="L783" s="445">
        <f t="shared" si="25"/>
        <v>-65.416666666666657</v>
      </c>
      <c r="M783" s="445">
        <f t="shared" si="26"/>
        <v>-24.083333333333343</v>
      </c>
    </row>
    <row r="784" spans="1:13" x14ac:dyDescent="0.3">
      <c r="A784" s="124" t="s">
        <v>547</v>
      </c>
      <c r="B784" s="146" t="s">
        <v>576</v>
      </c>
      <c r="C784" s="146" t="s">
        <v>1056</v>
      </c>
      <c r="D784" s="124" t="s">
        <v>1055</v>
      </c>
      <c r="E784" s="146">
        <v>15.952380952380951</v>
      </c>
      <c r="F784" s="124">
        <v>16.220238095238095</v>
      </c>
      <c r="G784" s="124">
        <v>85.625</v>
      </c>
      <c r="H784" s="124">
        <v>85.625</v>
      </c>
      <c r="I784" s="124">
        <v>69.672619047619051</v>
      </c>
      <c r="J784" s="124">
        <v>101.8452380952381</v>
      </c>
      <c r="K784" s="445">
        <f t="shared" si="24"/>
        <v>-14.375</v>
      </c>
      <c r="L784" s="445">
        <f t="shared" si="25"/>
        <v>-30.327380952380949</v>
      </c>
      <c r="M784" s="445">
        <f t="shared" si="26"/>
        <v>1.845238095238102</v>
      </c>
    </row>
    <row r="785" spans="1:13" x14ac:dyDescent="0.3">
      <c r="A785" s="124" t="s">
        <v>547</v>
      </c>
      <c r="B785" s="146" t="s">
        <v>576</v>
      </c>
      <c r="C785" s="146" t="s">
        <v>1057</v>
      </c>
      <c r="D785" s="124" t="s">
        <v>1055</v>
      </c>
      <c r="E785" s="146">
        <v>10.925016160310278</v>
      </c>
      <c r="F785" s="124">
        <v>13.378070458952811</v>
      </c>
      <c r="G785" s="124">
        <v>92.25</v>
      </c>
      <c r="H785" s="124">
        <v>92.25</v>
      </c>
      <c r="I785" s="124">
        <v>81.324983839689722</v>
      </c>
      <c r="J785" s="124">
        <v>105.62807045895281</v>
      </c>
      <c r="K785" s="445">
        <f t="shared" si="24"/>
        <v>-7.75</v>
      </c>
      <c r="L785" s="445">
        <f t="shared" si="25"/>
        <v>-18.675016160310278</v>
      </c>
      <c r="M785" s="445">
        <f t="shared" si="26"/>
        <v>5.6280704589528057</v>
      </c>
    </row>
    <row r="786" spans="1:13" x14ac:dyDescent="0.3">
      <c r="A786" s="124" t="s">
        <v>547</v>
      </c>
      <c r="B786" s="146" t="s">
        <v>579</v>
      </c>
      <c r="C786" s="124" t="s">
        <v>1052</v>
      </c>
      <c r="D786" s="146" t="s">
        <v>1053</v>
      </c>
      <c r="E786" s="124">
        <v>13.24263038548753</v>
      </c>
      <c r="F786" s="124">
        <v>12.970521541950115</v>
      </c>
      <c r="G786" s="124">
        <v>29.714285714285715</v>
      </c>
      <c r="H786" s="124">
        <v>29.714285714285715</v>
      </c>
      <c r="I786" s="124">
        <v>16.471655328798185</v>
      </c>
      <c r="J786" s="124">
        <v>42.684807256235828</v>
      </c>
      <c r="K786" s="445">
        <f t="shared" si="24"/>
        <v>-70.285714285714278</v>
      </c>
      <c r="L786" s="445">
        <f t="shared" si="25"/>
        <v>-83.528344671201808</v>
      </c>
      <c r="M786" s="445">
        <f t="shared" si="26"/>
        <v>-57.315192743764172</v>
      </c>
    </row>
    <row r="787" spans="1:13" x14ac:dyDescent="0.3">
      <c r="A787" s="124" t="s">
        <v>547</v>
      </c>
      <c r="B787" s="124" t="s">
        <v>579</v>
      </c>
      <c r="C787" s="124" t="s">
        <v>1056</v>
      </c>
      <c r="D787" s="124" t="s">
        <v>1053</v>
      </c>
      <c r="E787" s="124">
        <v>16.090702947845806</v>
      </c>
      <c r="F787" s="124">
        <v>17.392290249433106</v>
      </c>
      <c r="G787" s="124">
        <v>62.857142857142854</v>
      </c>
      <c r="H787" s="124">
        <v>62.857142857142854</v>
      </c>
      <c r="I787" s="124">
        <v>46.766439909297048</v>
      </c>
      <c r="J787" s="124">
        <v>80.249433106575964</v>
      </c>
      <c r="K787" s="445">
        <f t="shared" si="24"/>
        <v>-37.142857142857146</v>
      </c>
      <c r="L787" s="445">
        <f t="shared" si="25"/>
        <v>-53.233560090702952</v>
      </c>
      <c r="M787" s="445">
        <f t="shared" si="26"/>
        <v>-19.750566893424036</v>
      </c>
    </row>
    <row r="788" spans="1:13" x14ac:dyDescent="0.3">
      <c r="A788" s="124" t="s">
        <v>547</v>
      </c>
      <c r="B788" s="146" t="s">
        <v>579</v>
      </c>
      <c r="C788" s="146" t="s">
        <v>1057</v>
      </c>
      <c r="D788" s="146" t="s">
        <v>1053</v>
      </c>
      <c r="E788" s="124">
        <v>0</v>
      </c>
      <c r="F788" s="124">
        <v>0</v>
      </c>
      <c r="G788" s="124">
        <v>100</v>
      </c>
      <c r="H788" s="124">
        <v>100</v>
      </c>
      <c r="I788" s="124">
        <v>100</v>
      </c>
      <c r="J788" s="124">
        <v>100</v>
      </c>
      <c r="K788" s="445">
        <f t="shared" si="24"/>
        <v>0</v>
      </c>
      <c r="L788" s="445">
        <f t="shared" si="25"/>
        <v>0</v>
      </c>
      <c r="M788" s="445">
        <f t="shared" si="26"/>
        <v>0</v>
      </c>
    </row>
    <row r="789" spans="1:13" x14ac:dyDescent="0.3">
      <c r="A789" s="124" t="s">
        <v>547</v>
      </c>
      <c r="B789" s="146" t="s">
        <v>579</v>
      </c>
      <c r="C789" s="124" t="s">
        <v>1052</v>
      </c>
      <c r="D789" s="124" t="s">
        <v>1054</v>
      </c>
      <c r="E789" s="124">
        <v>11.138321995464853</v>
      </c>
      <c r="F789" s="124">
        <v>16.802721088435373</v>
      </c>
      <c r="G789" s="124">
        <v>29.714285714285715</v>
      </c>
      <c r="H789" s="124">
        <v>29.714285714285715</v>
      </c>
      <c r="I789" s="124">
        <v>18.575963718820862</v>
      </c>
      <c r="J789" s="124">
        <v>46.517006802721085</v>
      </c>
      <c r="K789" s="445">
        <f t="shared" si="24"/>
        <v>-70.285714285714278</v>
      </c>
      <c r="L789" s="445">
        <f t="shared" si="25"/>
        <v>-81.424036281179141</v>
      </c>
      <c r="M789" s="445">
        <f t="shared" si="26"/>
        <v>-53.482993197278915</v>
      </c>
    </row>
    <row r="790" spans="1:13" x14ac:dyDescent="0.3">
      <c r="A790" s="124" t="s">
        <v>547</v>
      </c>
      <c r="B790" s="146" t="s">
        <v>579</v>
      </c>
      <c r="C790" s="124" t="s">
        <v>1056</v>
      </c>
      <c r="D790" s="124" t="s">
        <v>1054</v>
      </c>
      <c r="E790" s="124">
        <v>16.424969987995201</v>
      </c>
      <c r="F790" s="124">
        <v>19.996398559423771</v>
      </c>
      <c r="G790" s="124">
        <v>55.285714285714285</v>
      </c>
      <c r="H790" s="124">
        <v>55.285714285714285</v>
      </c>
      <c r="I790" s="124">
        <v>38.86074429771908</v>
      </c>
      <c r="J790" s="124">
        <v>75.282112845138059</v>
      </c>
      <c r="K790" s="445">
        <f t="shared" si="24"/>
        <v>-44.714285714285715</v>
      </c>
      <c r="L790" s="445">
        <f t="shared" si="25"/>
        <v>-61.13925570228092</v>
      </c>
      <c r="M790" s="445">
        <f t="shared" si="26"/>
        <v>-24.717887154861941</v>
      </c>
    </row>
    <row r="791" spans="1:13" x14ac:dyDescent="0.3">
      <c r="A791" s="124" t="s">
        <v>547</v>
      </c>
      <c r="B791" s="124" t="s">
        <v>579</v>
      </c>
      <c r="C791" s="124" t="s">
        <v>1057</v>
      </c>
      <c r="D791" s="124" t="s">
        <v>1054</v>
      </c>
      <c r="E791" s="124">
        <v>6.7126148705096069</v>
      </c>
      <c r="F791" s="124">
        <v>5.284043441938179</v>
      </c>
      <c r="G791" s="124">
        <v>97.142857142857139</v>
      </c>
      <c r="H791" s="124">
        <v>97.142857142857139</v>
      </c>
      <c r="I791" s="124">
        <v>90.430242272347527</v>
      </c>
      <c r="J791" s="124">
        <v>102.42690058479532</v>
      </c>
      <c r="K791" s="445">
        <f t="shared" si="24"/>
        <v>-2.8571428571428612</v>
      </c>
      <c r="L791" s="445">
        <f t="shared" si="25"/>
        <v>-9.5697577276524726</v>
      </c>
      <c r="M791" s="445">
        <f t="shared" si="26"/>
        <v>2.4269005847953196</v>
      </c>
    </row>
    <row r="792" spans="1:13" x14ac:dyDescent="0.3">
      <c r="A792" s="124" t="s">
        <v>547</v>
      </c>
      <c r="B792" s="124" t="s">
        <v>579</v>
      </c>
      <c r="C792" s="124" t="s">
        <v>1052</v>
      </c>
      <c r="D792" s="124" t="s">
        <v>1055</v>
      </c>
      <c r="E792" s="124">
        <v>20.054581832733088</v>
      </c>
      <c r="F792" s="124">
        <v>22.947418967587033</v>
      </c>
      <c r="G792" s="124">
        <v>39</v>
      </c>
      <c r="H792" s="124">
        <v>39</v>
      </c>
      <c r="I792" s="124">
        <v>18.945418167266912</v>
      </c>
      <c r="J792" s="124">
        <v>61.947418967587033</v>
      </c>
      <c r="K792" s="445">
        <f t="shared" si="24"/>
        <v>-61</v>
      </c>
      <c r="L792" s="445">
        <f t="shared" si="25"/>
        <v>-81.054581832733092</v>
      </c>
      <c r="M792" s="445">
        <f t="shared" si="26"/>
        <v>-38.052581032412967</v>
      </c>
    </row>
    <row r="793" spans="1:13" x14ac:dyDescent="0.3">
      <c r="A793" s="124" t="s">
        <v>547</v>
      </c>
      <c r="B793" s="124" t="s">
        <v>579</v>
      </c>
      <c r="C793" s="124" t="s">
        <v>1056</v>
      </c>
      <c r="D793" s="124" t="s">
        <v>1055</v>
      </c>
      <c r="E793" s="124">
        <v>26.325170068027209</v>
      </c>
      <c r="F793" s="124">
        <v>21.470748299319727</v>
      </c>
      <c r="G793" s="124">
        <v>64.571428571428569</v>
      </c>
      <c r="H793" s="124">
        <v>64.571428571428569</v>
      </c>
      <c r="I793" s="124">
        <v>38.246258503401364</v>
      </c>
      <c r="J793" s="124">
        <v>86.042176870748293</v>
      </c>
      <c r="K793" s="445">
        <f t="shared" si="24"/>
        <v>-35.428571428571431</v>
      </c>
      <c r="L793" s="445">
        <f t="shared" si="25"/>
        <v>-61.753741496598636</v>
      </c>
      <c r="M793" s="445">
        <f t="shared" si="26"/>
        <v>-13.957823129251707</v>
      </c>
    </row>
    <row r="794" spans="1:13" x14ac:dyDescent="0.3">
      <c r="A794" s="124" t="s">
        <v>547</v>
      </c>
      <c r="B794" s="146" t="s">
        <v>579</v>
      </c>
      <c r="C794" s="146" t="s">
        <v>1057</v>
      </c>
      <c r="D794" s="146" t="s">
        <v>1055</v>
      </c>
      <c r="E794" s="146">
        <v>12.076500775748896</v>
      </c>
      <c r="F794" s="146">
        <v>12.101086048454468</v>
      </c>
      <c r="G794" s="146">
        <v>87.714285714285708</v>
      </c>
      <c r="H794" s="146">
        <v>87.714285714285708</v>
      </c>
      <c r="I794" s="146">
        <v>75.637784938536811</v>
      </c>
      <c r="J794" s="146">
        <v>99.81537176274017</v>
      </c>
      <c r="K794" s="445">
        <f t="shared" si="24"/>
        <v>-12.285714285714292</v>
      </c>
      <c r="L794" s="445">
        <f t="shared" si="25"/>
        <v>-24.362215061463189</v>
      </c>
      <c r="M794" s="445">
        <f t="shared" si="26"/>
        <v>-0.18462823725982958</v>
      </c>
    </row>
    <row r="795" spans="1:13" x14ac:dyDescent="0.3">
      <c r="A795" s="124" t="s">
        <v>547</v>
      </c>
      <c r="B795" s="124" t="s">
        <v>582</v>
      </c>
      <c r="C795" s="124" t="s">
        <v>1052</v>
      </c>
      <c r="D795" s="124" t="s">
        <v>1053</v>
      </c>
      <c r="E795" s="124">
        <v>15.403866809881848</v>
      </c>
      <c r="F795" s="124">
        <v>19.044038668098818</v>
      </c>
      <c r="G795" s="124">
        <v>38.285714285714285</v>
      </c>
      <c r="H795" s="124">
        <v>38.285714285714285</v>
      </c>
      <c r="I795" s="124">
        <v>22.881847475832437</v>
      </c>
      <c r="J795" s="124">
        <v>57.329752953813099</v>
      </c>
      <c r="K795" s="445">
        <f t="shared" si="24"/>
        <v>-61.714285714285715</v>
      </c>
      <c r="L795" s="445">
        <f t="shared" si="25"/>
        <v>-77.118152524167556</v>
      </c>
      <c r="M795" s="445">
        <f t="shared" si="26"/>
        <v>-42.670247046186901</v>
      </c>
    </row>
    <row r="796" spans="1:13" x14ac:dyDescent="0.3">
      <c r="A796" s="124" t="s">
        <v>547</v>
      </c>
      <c r="B796" s="124" t="s">
        <v>582</v>
      </c>
      <c r="C796" s="124" t="s">
        <v>1056</v>
      </c>
      <c r="D796" s="124" t="s">
        <v>1053</v>
      </c>
      <c r="E796" s="124">
        <v>11.121374865735769</v>
      </c>
      <c r="F796" s="124">
        <v>19.621911922663802</v>
      </c>
      <c r="G796" s="124">
        <v>77.142857142857139</v>
      </c>
      <c r="H796" s="124">
        <v>77.142857142857139</v>
      </c>
      <c r="I796" s="124">
        <v>66.021482277121365</v>
      </c>
      <c r="J796" s="124">
        <v>96.764769065520937</v>
      </c>
      <c r="K796" s="445">
        <f t="shared" si="24"/>
        <v>-22.857142857142861</v>
      </c>
      <c r="L796" s="445">
        <f t="shared" si="25"/>
        <v>-33.978517722878635</v>
      </c>
      <c r="M796" s="445">
        <f t="shared" si="26"/>
        <v>-3.2352309344790626</v>
      </c>
    </row>
    <row r="797" spans="1:13" x14ac:dyDescent="0.3">
      <c r="A797" s="124" t="s">
        <v>547</v>
      </c>
      <c r="B797" s="146" t="s">
        <v>582</v>
      </c>
      <c r="C797" s="146" t="s">
        <v>1057</v>
      </c>
      <c r="D797" s="146" t="s">
        <v>1053</v>
      </c>
      <c r="E797" s="124">
        <v>0</v>
      </c>
      <c r="F797" s="124">
        <v>0</v>
      </c>
      <c r="G797" s="124">
        <v>100</v>
      </c>
      <c r="H797" s="124">
        <v>100</v>
      </c>
      <c r="I797" s="124">
        <v>100</v>
      </c>
      <c r="J797" s="124">
        <v>100</v>
      </c>
      <c r="K797" s="445">
        <f t="shared" si="24"/>
        <v>0</v>
      </c>
      <c r="L797" s="445">
        <f t="shared" si="25"/>
        <v>0</v>
      </c>
      <c r="M797" s="445">
        <f t="shared" si="26"/>
        <v>0</v>
      </c>
    </row>
    <row r="798" spans="1:13" x14ac:dyDescent="0.3">
      <c r="A798" s="124" t="s">
        <v>547</v>
      </c>
      <c r="B798" s="146" t="s">
        <v>582</v>
      </c>
      <c r="C798" s="146" t="s">
        <v>1052</v>
      </c>
      <c r="D798" s="146" t="s">
        <v>1054</v>
      </c>
      <c r="E798" s="146">
        <v>20.202747765772976</v>
      </c>
      <c r="F798" s="146">
        <v>18.932906495931707</v>
      </c>
      <c r="G798" s="146">
        <v>34.285714285714285</v>
      </c>
      <c r="H798" s="146">
        <v>34.285714285714285</v>
      </c>
      <c r="I798" s="146">
        <v>14.082966519941309</v>
      </c>
      <c r="J798" s="146">
        <v>53.218620781645996</v>
      </c>
      <c r="K798" s="445">
        <f t="shared" si="24"/>
        <v>-65.714285714285722</v>
      </c>
      <c r="L798" s="445">
        <f t="shared" si="25"/>
        <v>-85.917033480058691</v>
      </c>
      <c r="M798" s="445">
        <f t="shared" si="26"/>
        <v>-46.781379218354004</v>
      </c>
    </row>
    <row r="799" spans="1:13" x14ac:dyDescent="0.3">
      <c r="A799" s="124" t="s">
        <v>547</v>
      </c>
      <c r="B799" s="124" t="s">
        <v>582</v>
      </c>
      <c r="C799" s="124" t="s">
        <v>1056</v>
      </c>
      <c r="D799" s="124" t="s">
        <v>1054</v>
      </c>
      <c r="E799" s="124">
        <v>12.705082032813124</v>
      </c>
      <c r="F799" s="124">
        <v>16.480592236894758</v>
      </c>
      <c r="G799" s="124">
        <v>70.714285714285708</v>
      </c>
      <c r="H799" s="124">
        <v>70.714285714285708</v>
      </c>
      <c r="I799" s="124">
        <v>58.009203681472584</v>
      </c>
      <c r="J799" s="124">
        <v>87.194877951180473</v>
      </c>
      <c r="K799" s="445">
        <f t="shared" si="24"/>
        <v>-29.285714285714292</v>
      </c>
      <c r="L799" s="445">
        <f t="shared" si="25"/>
        <v>-41.990796318527416</v>
      </c>
      <c r="M799" s="445">
        <f t="shared" si="26"/>
        <v>-12.805122048819527</v>
      </c>
    </row>
    <row r="800" spans="1:13" x14ac:dyDescent="0.3">
      <c r="A800" s="124" t="s">
        <v>547</v>
      </c>
      <c r="B800" s="124" t="s">
        <v>582</v>
      </c>
      <c r="C800" s="124" t="s">
        <v>1057</v>
      </c>
      <c r="D800" s="124" t="s">
        <v>1054</v>
      </c>
      <c r="E800" s="124">
        <v>5.0254066538896263</v>
      </c>
      <c r="F800" s="124">
        <v>4.1841368126197844</v>
      </c>
      <c r="G800" s="124">
        <v>99</v>
      </c>
      <c r="H800" s="124">
        <v>99</v>
      </c>
      <c r="I800" s="124">
        <v>93.974593346110368</v>
      </c>
      <c r="J800" s="124">
        <v>103.18413681261978</v>
      </c>
      <c r="K800" s="445">
        <f t="shared" si="24"/>
        <v>-1</v>
      </c>
      <c r="L800" s="445">
        <f t="shared" si="25"/>
        <v>-6.0254066538896325</v>
      </c>
      <c r="M800" s="445">
        <f t="shared" si="26"/>
        <v>3.1841368126197835</v>
      </c>
    </row>
    <row r="801" spans="1:13" x14ac:dyDescent="0.3">
      <c r="A801" s="124" t="s">
        <v>547</v>
      </c>
      <c r="B801" s="124" t="s">
        <v>582</v>
      </c>
      <c r="C801" s="124" t="s">
        <v>1052</v>
      </c>
      <c r="D801" s="124" t="s">
        <v>1055</v>
      </c>
      <c r="E801" s="124">
        <v>25.340136054421766</v>
      </c>
      <c r="F801" s="124">
        <v>20.748299319727892</v>
      </c>
      <c r="G801" s="124">
        <v>51.428571428571431</v>
      </c>
      <c r="H801" s="124">
        <v>51.428571428571431</v>
      </c>
      <c r="I801" s="124">
        <v>26.088435374149665</v>
      </c>
      <c r="J801" s="124">
        <v>72.176870748299322</v>
      </c>
      <c r="K801" s="445">
        <f t="shared" si="24"/>
        <v>-48.571428571428569</v>
      </c>
      <c r="L801" s="445">
        <f t="shared" si="25"/>
        <v>-73.911564625850332</v>
      </c>
      <c r="M801" s="445">
        <f t="shared" si="26"/>
        <v>-27.823129251700678</v>
      </c>
    </row>
    <row r="802" spans="1:13" x14ac:dyDescent="0.3">
      <c r="A802" s="124" t="s">
        <v>547</v>
      </c>
      <c r="B802" s="146" t="s">
        <v>582</v>
      </c>
      <c r="C802" s="146" t="s">
        <v>1056</v>
      </c>
      <c r="D802" s="124" t="s">
        <v>1055</v>
      </c>
      <c r="E802" s="146">
        <v>28.367346938775508</v>
      </c>
      <c r="F802" s="124">
        <v>11.587301587301587</v>
      </c>
      <c r="G802" s="124">
        <v>88.571428571428569</v>
      </c>
      <c r="H802" s="124">
        <v>88.571428571428569</v>
      </c>
      <c r="I802" s="124">
        <v>60.204081632653057</v>
      </c>
      <c r="J802" s="124">
        <v>100.15873015873015</v>
      </c>
      <c r="K802" s="445">
        <f t="shared" si="24"/>
        <v>-11.428571428571431</v>
      </c>
      <c r="L802" s="445">
        <f t="shared" si="25"/>
        <v>-39.795918367346943</v>
      </c>
      <c r="M802" s="445">
        <f t="shared" si="26"/>
        <v>0.15873015873015106</v>
      </c>
    </row>
    <row r="803" spans="1:13" x14ac:dyDescent="0.3">
      <c r="A803" s="124" t="s">
        <v>547</v>
      </c>
      <c r="B803" s="146" t="s">
        <v>582</v>
      </c>
      <c r="C803" s="146" t="s">
        <v>1057</v>
      </c>
      <c r="D803" s="146" t="s">
        <v>1055</v>
      </c>
      <c r="E803" s="146">
        <v>10.702947845804989</v>
      </c>
      <c r="F803" s="146">
        <v>9.9886621315192752</v>
      </c>
      <c r="G803" s="146">
        <v>93.571428571428569</v>
      </c>
      <c r="H803" s="146">
        <v>93.571428571428569</v>
      </c>
      <c r="I803" s="146">
        <v>82.868480725623584</v>
      </c>
      <c r="J803" s="146">
        <v>103.56009070294785</v>
      </c>
      <c r="K803" s="445">
        <f t="shared" si="24"/>
        <v>-6.4285714285714306</v>
      </c>
      <c r="L803" s="445">
        <f t="shared" si="25"/>
        <v>-17.131519274376416</v>
      </c>
      <c r="M803" s="445">
        <f t="shared" si="26"/>
        <v>3.5600907029478464</v>
      </c>
    </row>
    <row r="804" spans="1:13" x14ac:dyDescent="0.3">
      <c r="A804" s="124" t="s">
        <v>547</v>
      </c>
      <c r="B804" s="124" t="s">
        <v>585</v>
      </c>
      <c r="C804" s="124" t="s">
        <v>1052</v>
      </c>
      <c r="D804" s="124" t="s">
        <v>1053</v>
      </c>
      <c r="E804" s="124">
        <v>16.918820861678004</v>
      </c>
      <c r="F804" s="124">
        <v>14.559637188208617</v>
      </c>
      <c r="G804" s="124">
        <v>79</v>
      </c>
      <c r="H804" s="124">
        <v>79</v>
      </c>
      <c r="I804" s="124">
        <v>62.081179138322</v>
      </c>
      <c r="J804" s="124">
        <v>93.559637188208612</v>
      </c>
      <c r="K804" s="445">
        <f t="shared" si="24"/>
        <v>-21</v>
      </c>
      <c r="L804" s="445">
        <f t="shared" si="25"/>
        <v>-37.918820861678</v>
      </c>
      <c r="M804" s="445">
        <f t="shared" si="26"/>
        <v>-6.4403628117913883</v>
      </c>
    </row>
    <row r="805" spans="1:13" x14ac:dyDescent="0.3">
      <c r="A805" s="124" t="s">
        <v>547</v>
      </c>
      <c r="B805" s="124" t="s">
        <v>585</v>
      </c>
      <c r="C805" s="124" t="s">
        <v>1056</v>
      </c>
      <c r="D805" s="124" t="s">
        <v>1053</v>
      </c>
      <c r="E805" s="124">
        <v>10.45520511234797</v>
      </c>
      <c r="F805" s="124">
        <v>7.642506699649557</v>
      </c>
      <c r="G805" s="124">
        <v>96.857142857142861</v>
      </c>
      <c r="H805" s="124">
        <v>96.857142857142861</v>
      </c>
      <c r="I805" s="124">
        <v>86.401937744794893</v>
      </c>
      <c r="J805" s="124">
        <v>104.49964955679242</v>
      </c>
      <c r="K805" s="445">
        <f t="shared" si="24"/>
        <v>-3.1428571428571388</v>
      </c>
      <c r="L805" s="445">
        <f t="shared" si="25"/>
        <v>-13.598062255205107</v>
      </c>
      <c r="M805" s="445">
        <f t="shared" si="26"/>
        <v>4.49964955679242</v>
      </c>
    </row>
    <row r="806" spans="1:13" x14ac:dyDescent="0.3">
      <c r="A806" s="124" t="s">
        <v>547</v>
      </c>
      <c r="B806" s="146" t="s">
        <v>585</v>
      </c>
      <c r="C806" s="146" t="s">
        <v>1057</v>
      </c>
      <c r="D806" s="146" t="s">
        <v>1053</v>
      </c>
      <c r="E806" s="124">
        <v>0</v>
      </c>
      <c r="F806" s="124">
        <v>0</v>
      </c>
      <c r="G806" s="124">
        <v>100</v>
      </c>
      <c r="H806" s="124">
        <v>100</v>
      </c>
      <c r="I806" s="124">
        <v>100</v>
      </c>
      <c r="J806" s="124">
        <v>100</v>
      </c>
      <c r="K806" s="445">
        <f t="shared" si="24"/>
        <v>0</v>
      </c>
      <c r="L806" s="445">
        <f t="shared" si="25"/>
        <v>0</v>
      </c>
      <c r="M806" s="445">
        <f t="shared" si="26"/>
        <v>0</v>
      </c>
    </row>
    <row r="807" spans="1:13" x14ac:dyDescent="0.3">
      <c r="A807" s="124" t="s">
        <v>547</v>
      </c>
      <c r="B807" s="146" t="s">
        <v>585</v>
      </c>
      <c r="C807" s="124" t="s">
        <v>1052</v>
      </c>
      <c r="D807" s="124" t="s">
        <v>1054</v>
      </c>
      <c r="E807" s="124">
        <v>20.918367346938773</v>
      </c>
      <c r="F807" s="124">
        <v>15.408163265306124</v>
      </c>
      <c r="G807" s="124">
        <v>61.428571428571431</v>
      </c>
      <c r="H807" s="124">
        <v>61.428571428571431</v>
      </c>
      <c r="I807" s="124">
        <v>40.510204081632658</v>
      </c>
      <c r="J807" s="124">
        <v>76.83673469387756</v>
      </c>
      <c r="K807" s="445">
        <f t="shared" si="24"/>
        <v>-38.571428571428569</v>
      </c>
      <c r="L807" s="445">
        <f t="shared" si="25"/>
        <v>-59.489795918367342</v>
      </c>
      <c r="M807" s="445">
        <f t="shared" si="26"/>
        <v>-23.16326530612244</v>
      </c>
    </row>
    <row r="808" spans="1:13" x14ac:dyDescent="0.3">
      <c r="A808" s="124" t="s">
        <v>547</v>
      </c>
      <c r="B808" s="124" t="s">
        <v>585</v>
      </c>
      <c r="C808" s="124" t="s">
        <v>1056</v>
      </c>
      <c r="D808" s="124" t="s">
        <v>1054</v>
      </c>
      <c r="E808" s="124">
        <v>13.039742212674541</v>
      </c>
      <c r="F808" s="124">
        <v>13.039742212674541</v>
      </c>
      <c r="G808" s="124">
        <v>83.571428571428569</v>
      </c>
      <c r="H808" s="124">
        <v>83.571428571428569</v>
      </c>
      <c r="I808" s="124">
        <v>70.53168635875403</v>
      </c>
      <c r="J808" s="124">
        <v>96.611170784103109</v>
      </c>
      <c r="K808" s="445">
        <f t="shared" si="24"/>
        <v>-16.428571428571431</v>
      </c>
      <c r="L808" s="445">
        <f t="shared" si="25"/>
        <v>-29.46831364124597</v>
      </c>
      <c r="M808" s="445">
        <f t="shared" si="26"/>
        <v>-3.3888292158968909</v>
      </c>
    </row>
    <row r="809" spans="1:13" x14ac:dyDescent="0.3">
      <c r="A809" s="124" t="s">
        <v>547</v>
      </c>
      <c r="B809" s="124" t="s">
        <v>585</v>
      </c>
      <c r="C809" s="124" t="s">
        <v>1057</v>
      </c>
      <c r="D809" s="124" t="s">
        <v>1054</v>
      </c>
      <c r="E809" s="124">
        <v>4.9348370927318301</v>
      </c>
      <c r="F809" s="124">
        <v>5.0776942355889725</v>
      </c>
      <c r="G809" s="124">
        <v>98.142857142857139</v>
      </c>
      <c r="H809" s="124">
        <v>98.142857142857139</v>
      </c>
      <c r="I809" s="124">
        <v>93.208020050125313</v>
      </c>
      <c r="J809" s="124">
        <v>103.22055137844612</v>
      </c>
      <c r="K809" s="445">
        <f t="shared" si="24"/>
        <v>-1.8571428571428612</v>
      </c>
      <c r="L809" s="445">
        <f t="shared" si="25"/>
        <v>-6.7919799498746869</v>
      </c>
      <c r="M809" s="445">
        <f t="shared" si="26"/>
        <v>3.2205513784461175</v>
      </c>
    </row>
    <row r="810" spans="1:13" x14ac:dyDescent="0.3">
      <c r="A810" s="124" t="s">
        <v>547</v>
      </c>
      <c r="B810" s="124" t="s">
        <v>585</v>
      </c>
      <c r="C810" s="124" t="s">
        <v>1052</v>
      </c>
      <c r="D810" s="124" t="s">
        <v>1055</v>
      </c>
      <c r="E810" s="124">
        <v>23.142857142857142</v>
      </c>
      <c r="F810" s="124">
        <v>22.469387755102044</v>
      </c>
      <c r="G810" s="124">
        <v>65.428571428571431</v>
      </c>
      <c r="H810" s="124">
        <v>65.428571428571431</v>
      </c>
      <c r="I810" s="124">
        <v>42.285714285714292</v>
      </c>
      <c r="J810" s="124">
        <v>87.897959183673478</v>
      </c>
      <c r="K810" s="445">
        <f t="shared" si="24"/>
        <v>-34.571428571428569</v>
      </c>
      <c r="L810" s="445">
        <f t="shared" si="25"/>
        <v>-57.714285714285708</v>
      </c>
      <c r="M810" s="445">
        <f t="shared" si="26"/>
        <v>-12.102040816326522</v>
      </c>
    </row>
    <row r="811" spans="1:13" x14ac:dyDescent="0.3">
      <c r="A811" s="124" t="s">
        <v>547</v>
      </c>
      <c r="B811" s="146" t="s">
        <v>585</v>
      </c>
      <c r="C811" s="146" t="s">
        <v>1056</v>
      </c>
      <c r="D811" s="124" t="s">
        <v>1055</v>
      </c>
      <c r="E811" s="146">
        <v>16.412698412698411</v>
      </c>
      <c r="F811" s="124">
        <v>12.16780045351474</v>
      </c>
      <c r="G811" s="124">
        <v>86.285714285714292</v>
      </c>
      <c r="H811" s="124">
        <v>86.285714285714292</v>
      </c>
      <c r="I811" s="124">
        <v>69.873015873015873</v>
      </c>
      <c r="J811" s="124">
        <v>98.453514739229036</v>
      </c>
      <c r="K811" s="445">
        <f t="shared" si="24"/>
        <v>-13.714285714285708</v>
      </c>
      <c r="L811" s="445">
        <f t="shared" si="25"/>
        <v>-30.126984126984127</v>
      </c>
      <c r="M811" s="445">
        <f t="shared" si="26"/>
        <v>-1.5464852607709645</v>
      </c>
    </row>
    <row r="812" spans="1:13" x14ac:dyDescent="0.3">
      <c r="A812" s="124" t="s">
        <v>547</v>
      </c>
      <c r="B812" s="146" t="s">
        <v>585</v>
      </c>
      <c r="C812" s="146" t="s">
        <v>1057</v>
      </c>
      <c r="D812" s="124" t="s">
        <v>1055</v>
      </c>
      <c r="E812" s="146">
        <v>8.8764769065520941</v>
      </c>
      <c r="F812" s="124">
        <v>9.7540279269602586</v>
      </c>
      <c r="G812" s="124">
        <v>89.571428571428569</v>
      </c>
      <c r="H812" s="124">
        <v>89.571428571428569</v>
      </c>
      <c r="I812" s="124">
        <v>80.69495166487647</v>
      </c>
      <c r="J812" s="124">
        <v>99.325456498388832</v>
      </c>
      <c r="K812" s="445">
        <f t="shared" si="24"/>
        <v>-10.428571428571431</v>
      </c>
      <c r="L812" s="445">
        <f t="shared" si="25"/>
        <v>-19.30504833512353</v>
      </c>
      <c r="M812" s="445">
        <f t="shared" si="26"/>
        <v>-0.67454350161116849</v>
      </c>
    </row>
    <row r="813" spans="1:13" x14ac:dyDescent="0.3">
      <c r="A813" s="124" t="s">
        <v>547</v>
      </c>
      <c r="B813" s="124" t="s">
        <v>589</v>
      </c>
      <c r="C813" s="124" t="s">
        <v>1052</v>
      </c>
      <c r="D813" s="124" t="s">
        <v>1053</v>
      </c>
      <c r="E813" s="124">
        <v>13.610430839002266</v>
      </c>
      <c r="F813" s="124">
        <v>14.829478458049886</v>
      </c>
      <c r="G813" s="124">
        <v>34.857142857142854</v>
      </c>
      <c r="H813" s="124">
        <v>34.857142857142854</v>
      </c>
      <c r="I813" s="124">
        <v>21.246712018140588</v>
      </c>
      <c r="J813" s="124">
        <v>49.686621315192738</v>
      </c>
      <c r="K813" s="445">
        <f t="shared" si="24"/>
        <v>-65.142857142857139</v>
      </c>
      <c r="L813" s="445">
        <f t="shared" si="25"/>
        <v>-78.753287981859415</v>
      </c>
      <c r="M813" s="445">
        <f t="shared" si="26"/>
        <v>-50.313378684807262</v>
      </c>
    </row>
    <row r="814" spans="1:13" x14ac:dyDescent="0.3">
      <c r="A814" s="124" t="s">
        <v>547</v>
      </c>
      <c r="B814" s="124" t="s">
        <v>589</v>
      </c>
      <c r="C814" s="124" t="s">
        <v>1056</v>
      </c>
      <c r="D814" s="124" t="s">
        <v>1053</v>
      </c>
      <c r="E814" s="124">
        <v>17.355388471177942</v>
      </c>
      <c r="F814" s="124">
        <v>15.336340852130323</v>
      </c>
      <c r="G814" s="124">
        <v>79.285714285714292</v>
      </c>
      <c r="H814" s="124">
        <v>79.285714285714292</v>
      </c>
      <c r="I814" s="124">
        <v>61.930325814536346</v>
      </c>
      <c r="J814" s="124">
        <v>94.622055137844612</v>
      </c>
      <c r="K814" s="445">
        <f t="shared" si="24"/>
        <v>-20.714285714285708</v>
      </c>
      <c r="L814" s="445">
        <f t="shared" si="25"/>
        <v>-38.069674185463654</v>
      </c>
      <c r="M814" s="445">
        <f t="shared" si="26"/>
        <v>-5.3779448621553883</v>
      </c>
    </row>
    <row r="815" spans="1:13" x14ac:dyDescent="0.3">
      <c r="A815" s="124" t="s">
        <v>547</v>
      </c>
      <c r="B815" s="146" t="s">
        <v>589</v>
      </c>
      <c r="C815" s="146" t="s">
        <v>1057</v>
      </c>
      <c r="D815" s="146" t="s">
        <v>1053</v>
      </c>
      <c r="E815" s="124">
        <v>0</v>
      </c>
      <c r="F815" s="124">
        <v>0</v>
      </c>
      <c r="G815" s="124">
        <v>100</v>
      </c>
      <c r="H815" s="124">
        <v>100</v>
      </c>
      <c r="I815" s="124">
        <v>100</v>
      </c>
      <c r="J815" s="124">
        <v>100</v>
      </c>
      <c r="K815" s="445">
        <f t="shared" si="24"/>
        <v>0</v>
      </c>
      <c r="L815" s="445">
        <f t="shared" si="25"/>
        <v>0</v>
      </c>
      <c r="M815" s="445">
        <f t="shared" si="26"/>
        <v>0</v>
      </c>
    </row>
    <row r="816" spans="1:13" x14ac:dyDescent="0.3">
      <c r="A816" s="124" t="s">
        <v>547</v>
      </c>
      <c r="B816" s="146" t="s">
        <v>589</v>
      </c>
      <c r="C816" s="124" t="s">
        <v>1052</v>
      </c>
      <c r="D816" s="146" t="s">
        <v>1054</v>
      </c>
      <c r="E816" s="124">
        <v>11.913832199546485</v>
      </c>
      <c r="F816" s="124">
        <v>14.956916099773242</v>
      </c>
      <c r="G816" s="124">
        <v>32.428571428571431</v>
      </c>
      <c r="H816" s="124">
        <v>32.428571428571431</v>
      </c>
      <c r="I816" s="124">
        <v>20.514739229024947</v>
      </c>
      <c r="J816" s="124">
        <v>47.385487528344669</v>
      </c>
      <c r="K816" s="445">
        <f t="shared" si="24"/>
        <v>-67.571428571428569</v>
      </c>
      <c r="L816" s="445">
        <f t="shared" si="25"/>
        <v>-79.48526077097506</v>
      </c>
      <c r="M816" s="445">
        <f t="shared" si="26"/>
        <v>-52.614512471655331</v>
      </c>
    </row>
    <row r="817" spans="1:13" x14ac:dyDescent="0.3">
      <c r="A817" s="124" t="s">
        <v>547</v>
      </c>
      <c r="B817" s="146" t="s">
        <v>589</v>
      </c>
      <c r="C817" s="124" t="s">
        <v>1056</v>
      </c>
      <c r="D817" s="124" t="s">
        <v>1054</v>
      </c>
      <c r="E817" s="124">
        <v>17.92517006802721</v>
      </c>
      <c r="F817" s="124">
        <v>23.367346938775508</v>
      </c>
      <c r="G817" s="124">
        <v>62.142857142857146</v>
      </c>
      <c r="H817" s="124">
        <v>62.142857142857146</v>
      </c>
      <c r="I817" s="124">
        <v>44.217687074829939</v>
      </c>
      <c r="J817" s="124">
        <v>85.510204081632651</v>
      </c>
      <c r="K817" s="445">
        <f t="shared" si="24"/>
        <v>-37.857142857142854</v>
      </c>
      <c r="L817" s="445">
        <f t="shared" si="25"/>
        <v>-55.782312925170061</v>
      </c>
      <c r="M817" s="445">
        <f t="shared" si="26"/>
        <v>-14.489795918367349</v>
      </c>
    </row>
    <row r="818" spans="1:13" x14ac:dyDescent="0.3">
      <c r="A818" s="124" t="s">
        <v>547</v>
      </c>
      <c r="B818" s="124" t="s">
        <v>589</v>
      </c>
      <c r="C818" s="124" t="s">
        <v>1057</v>
      </c>
      <c r="D818" s="124" t="s">
        <v>1054</v>
      </c>
      <c r="E818" s="124">
        <v>6.4252297410192147</v>
      </c>
      <c r="F818" s="124">
        <v>4.9490392648287385</v>
      </c>
      <c r="G818" s="124">
        <v>99</v>
      </c>
      <c r="H818" s="124">
        <v>99</v>
      </c>
      <c r="I818" s="124">
        <v>92.574770258980791</v>
      </c>
      <c r="J818" s="124">
        <v>103.94903926482874</v>
      </c>
      <c r="K818" s="445">
        <f t="shared" si="24"/>
        <v>-1</v>
      </c>
      <c r="L818" s="445">
        <f t="shared" si="25"/>
        <v>-7.4252297410192085</v>
      </c>
      <c r="M818" s="445">
        <f t="shared" si="26"/>
        <v>3.9490392648287411</v>
      </c>
    </row>
    <row r="819" spans="1:13" x14ac:dyDescent="0.3">
      <c r="A819" s="124" t="s">
        <v>547</v>
      </c>
      <c r="B819" s="124" t="s">
        <v>589</v>
      </c>
      <c r="C819" s="124" t="s">
        <v>1052</v>
      </c>
      <c r="D819" s="124" t="s">
        <v>1055</v>
      </c>
      <c r="E819" s="124">
        <v>27.494997999199679</v>
      </c>
      <c r="F819" s="124">
        <v>24.977991196478591</v>
      </c>
      <c r="G819" s="124">
        <v>50</v>
      </c>
      <c r="H819" s="124">
        <v>50</v>
      </c>
      <c r="I819" s="124">
        <v>22.505002000800321</v>
      </c>
      <c r="J819" s="124">
        <v>74.977991196478598</v>
      </c>
      <c r="K819" s="445">
        <f t="shared" si="24"/>
        <v>-50</v>
      </c>
      <c r="L819" s="445">
        <f t="shared" si="25"/>
        <v>-77.494997999199683</v>
      </c>
      <c r="M819" s="445">
        <f t="shared" si="26"/>
        <v>-25.022008803521402</v>
      </c>
    </row>
    <row r="820" spans="1:13" x14ac:dyDescent="0.3">
      <c r="A820" s="124" t="s">
        <v>547</v>
      </c>
      <c r="B820" s="124" t="s">
        <v>589</v>
      </c>
      <c r="C820" s="124" t="s">
        <v>1056</v>
      </c>
      <c r="D820" s="124" t="s">
        <v>1055</v>
      </c>
      <c r="E820" s="124">
        <v>21.992797118847538</v>
      </c>
      <c r="F820" s="124">
        <v>26.278511404561822</v>
      </c>
      <c r="G820" s="124">
        <v>75.714285714285708</v>
      </c>
      <c r="H820" s="124">
        <v>75.714285714285708</v>
      </c>
      <c r="I820" s="124">
        <v>53.721488595438174</v>
      </c>
      <c r="J820" s="124">
        <v>101.99279711884753</v>
      </c>
      <c r="K820" s="445">
        <f t="shared" si="24"/>
        <v>-24.285714285714292</v>
      </c>
      <c r="L820" s="445">
        <f t="shared" si="25"/>
        <v>-46.278511404561826</v>
      </c>
      <c r="M820" s="445">
        <f t="shared" si="26"/>
        <v>1.992797118847534</v>
      </c>
    </row>
    <row r="821" spans="1:13" x14ac:dyDescent="0.3">
      <c r="A821" s="124" t="s">
        <v>547</v>
      </c>
      <c r="B821" s="146" t="s">
        <v>589</v>
      </c>
      <c r="C821" s="146" t="s">
        <v>1057</v>
      </c>
      <c r="D821" s="124" t="s">
        <v>1055</v>
      </c>
      <c r="E821" s="146">
        <v>14.697457930540637</v>
      </c>
      <c r="F821" s="124">
        <v>13.427616660699368</v>
      </c>
      <c r="G821" s="124">
        <v>93.571428571428569</v>
      </c>
      <c r="H821" s="124">
        <v>93.571428571428569</v>
      </c>
      <c r="I821" s="124">
        <v>78.873970640887933</v>
      </c>
      <c r="J821" s="124">
        <v>106.99904523212794</v>
      </c>
      <c r="K821" s="445">
        <f t="shared" si="24"/>
        <v>-6.4285714285714306</v>
      </c>
      <c r="L821" s="445">
        <f t="shared" si="25"/>
        <v>-21.126029359112067</v>
      </c>
      <c r="M821" s="445">
        <f t="shared" si="26"/>
        <v>6.9990452321279406</v>
      </c>
    </row>
    <row r="822" spans="1:13" x14ac:dyDescent="0.3">
      <c r="A822" s="124" t="s">
        <v>547</v>
      </c>
      <c r="B822" s="146" t="s">
        <v>592</v>
      </c>
      <c r="C822" s="124" t="s">
        <v>1052</v>
      </c>
      <c r="D822" s="124" t="s">
        <v>1053</v>
      </c>
      <c r="E822" s="124">
        <v>8.0870032223415684</v>
      </c>
      <c r="F822" s="124">
        <v>16.370569280343716</v>
      </c>
      <c r="G822" s="124">
        <v>14.571428571428571</v>
      </c>
      <c r="H822" s="124">
        <v>14.571428571428571</v>
      </c>
      <c r="I822" s="124">
        <v>6.4844253490870027</v>
      </c>
      <c r="J822" s="124">
        <v>30.941997851772285</v>
      </c>
      <c r="K822" s="445">
        <f t="shared" si="24"/>
        <v>-85.428571428571431</v>
      </c>
      <c r="L822" s="445">
        <f t="shared" si="25"/>
        <v>-93.515574650912995</v>
      </c>
      <c r="M822" s="445">
        <f t="shared" si="26"/>
        <v>-69.058002148227715</v>
      </c>
    </row>
    <row r="823" spans="1:13" x14ac:dyDescent="0.3">
      <c r="A823" s="124" t="s">
        <v>547</v>
      </c>
      <c r="B823" s="124" t="s">
        <v>592</v>
      </c>
      <c r="C823" s="124" t="s">
        <v>1056</v>
      </c>
      <c r="D823" s="124" t="s">
        <v>1053</v>
      </c>
      <c r="E823" s="124">
        <v>19.683733142379758</v>
      </c>
      <c r="F823" s="124">
        <v>17.925766797947251</v>
      </c>
      <c r="G823" s="124">
        <v>75.142857142857139</v>
      </c>
      <c r="H823" s="124">
        <v>75.142857142857139</v>
      </c>
      <c r="I823" s="124">
        <v>55.459124000477381</v>
      </c>
      <c r="J823" s="124">
        <v>93.068623940804386</v>
      </c>
      <c r="K823" s="445">
        <f t="shared" si="24"/>
        <v>-24.857142857142861</v>
      </c>
      <c r="L823" s="445">
        <f t="shared" si="25"/>
        <v>-44.540875999522619</v>
      </c>
      <c r="M823" s="445">
        <f t="shared" si="26"/>
        <v>-6.9313760591956139</v>
      </c>
    </row>
    <row r="824" spans="1:13" x14ac:dyDescent="0.3">
      <c r="A824" s="124" t="s">
        <v>547</v>
      </c>
      <c r="B824" s="146" t="s">
        <v>592</v>
      </c>
      <c r="C824" s="146" t="s">
        <v>1057</v>
      </c>
      <c r="D824" s="146" t="s">
        <v>1053</v>
      </c>
      <c r="E824" s="124">
        <v>0</v>
      </c>
      <c r="F824" s="124">
        <v>0</v>
      </c>
      <c r="G824" s="124">
        <v>100</v>
      </c>
      <c r="H824" s="124">
        <v>100</v>
      </c>
      <c r="I824" s="124">
        <v>100</v>
      </c>
      <c r="J824" s="124">
        <v>100</v>
      </c>
      <c r="K824" s="445">
        <f t="shared" si="24"/>
        <v>0</v>
      </c>
      <c r="L824" s="445">
        <f t="shared" si="25"/>
        <v>0</v>
      </c>
      <c r="M824" s="445">
        <f t="shared" si="26"/>
        <v>0</v>
      </c>
    </row>
    <row r="825" spans="1:13" x14ac:dyDescent="0.3">
      <c r="A825" s="124" t="s">
        <v>547</v>
      </c>
      <c r="B825" s="146" t="s">
        <v>592</v>
      </c>
      <c r="C825" s="124" t="s">
        <v>1052</v>
      </c>
      <c r="D825" s="146" t="s">
        <v>1054</v>
      </c>
      <c r="E825" s="124">
        <v>4.2749731471535979</v>
      </c>
      <c r="F825" s="124">
        <v>12.019334049409236</v>
      </c>
      <c r="G825" s="124">
        <v>8.5714285714285712</v>
      </c>
      <c r="H825" s="124">
        <v>8.5714285714285712</v>
      </c>
      <c r="I825" s="124">
        <v>4.2964554242749733</v>
      </c>
      <c r="J825" s="124">
        <v>20.590762620837808</v>
      </c>
      <c r="K825" s="445">
        <f t="shared" si="24"/>
        <v>-91.428571428571431</v>
      </c>
      <c r="L825" s="445">
        <f t="shared" si="25"/>
        <v>-95.703544575725033</v>
      </c>
      <c r="M825" s="445">
        <f t="shared" si="26"/>
        <v>-79.409237379162192</v>
      </c>
    </row>
    <row r="826" spans="1:13" x14ac:dyDescent="0.3">
      <c r="A826" s="124" t="s">
        <v>547</v>
      </c>
      <c r="B826" s="124" t="s">
        <v>592</v>
      </c>
      <c r="C826" s="124" t="s">
        <v>1056</v>
      </c>
      <c r="D826" s="124" t="s">
        <v>1054</v>
      </c>
      <c r="E826" s="124">
        <v>17.188208616780042</v>
      </c>
      <c r="F826" s="124">
        <v>14.965986394557822</v>
      </c>
      <c r="G826" s="124">
        <v>65</v>
      </c>
      <c r="H826" s="124">
        <v>65</v>
      </c>
      <c r="I826" s="124">
        <v>47.811791383219955</v>
      </c>
      <c r="J826" s="124">
        <v>79.965986394557817</v>
      </c>
      <c r="K826" s="445">
        <f t="shared" si="24"/>
        <v>-35</v>
      </c>
      <c r="L826" s="445">
        <f t="shared" si="25"/>
        <v>-52.188208616780045</v>
      </c>
      <c r="M826" s="445">
        <f t="shared" si="26"/>
        <v>-20.034013605442183</v>
      </c>
    </row>
    <row r="827" spans="1:13" x14ac:dyDescent="0.3">
      <c r="A827" s="124" t="s">
        <v>547</v>
      </c>
      <c r="B827" s="124" t="s">
        <v>592</v>
      </c>
      <c r="C827" s="124" t="s">
        <v>1057</v>
      </c>
      <c r="D827" s="124" t="s">
        <v>1054</v>
      </c>
      <c r="E827" s="124">
        <v>4.3740232935279373</v>
      </c>
      <c r="F827" s="124">
        <v>2.1417760086490736</v>
      </c>
      <c r="G827" s="124">
        <v>98.428571428571431</v>
      </c>
      <c r="H827" s="124">
        <v>98.428571428571431</v>
      </c>
      <c r="I827" s="124">
        <v>94.05454813504349</v>
      </c>
      <c r="J827" s="124">
        <v>100.57034743722051</v>
      </c>
      <c r="K827" s="445">
        <f t="shared" si="24"/>
        <v>-1.5714285714285694</v>
      </c>
      <c r="L827" s="445">
        <f t="shared" si="25"/>
        <v>-5.9454518649565102</v>
      </c>
      <c r="M827" s="445">
        <f t="shared" si="26"/>
        <v>0.57034743722050507</v>
      </c>
    </row>
    <row r="828" spans="1:13" x14ac:dyDescent="0.3">
      <c r="A828" s="124" t="s">
        <v>547</v>
      </c>
      <c r="B828" s="124" t="s">
        <v>592</v>
      </c>
      <c r="C828" s="124" t="s">
        <v>1052</v>
      </c>
      <c r="D828" s="124" t="s">
        <v>1055</v>
      </c>
      <c r="E828" s="124">
        <v>6.9853204439670611</v>
      </c>
      <c r="F828" s="124">
        <v>22.155388471177947</v>
      </c>
      <c r="G828" s="124">
        <v>13.571428571428571</v>
      </c>
      <c r="H828" s="124">
        <v>13.571428571428571</v>
      </c>
      <c r="I828" s="124">
        <v>6.5861081274615101</v>
      </c>
      <c r="J828" s="124">
        <v>35.72681704260652</v>
      </c>
      <c r="K828" s="445">
        <f t="shared" si="24"/>
        <v>-86.428571428571431</v>
      </c>
      <c r="L828" s="445">
        <f t="shared" si="25"/>
        <v>-93.413891872538485</v>
      </c>
      <c r="M828" s="445">
        <f t="shared" si="26"/>
        <v>-64.273182957393487</v>
      </c>
    </row>
    <row r="829" spans="1:13" x14ac:dyDescent="0.3">
      <c r="A829" s="124" t="s">
        <v>547</v>
      </c>
      <c r="B829" s="124" t="s">
        <v>592</v>
      </c>
      <c r="C829" s="124" t="s">
        <v>1056</v>
      </c>
      <c r="D829" s="124" t="s">
        <v>1055</v>
      </c>
      <c r="E829" s="124">
        <v>18.777777777777775</v>
      </c>
      <c r="F829" s="124">
        <v>18.095238095238095</v>
      </c>
      <c r="G829" s="124">
        <v>65.714285714285708</v>
      </c>
      <c r="H829" s="124">
        <v>65.714285714285708</v>
      </c>
      <c r="I829" s="124">
        <v>46.936507936507937</v>
      </c>
      <c r="J829" s="124">
        <v>83.809523809523796</v>
      </c>
      <c r="K829" s="445">
        <f t="shared" si="24"/>
        <v>-34.285714285714292</v>
      </c>
      <c r="L829" s="445">
        <f t="shared" si="25"/>
        <v>-53.063492063492063</v>
      </c>
      <c r="M829" s="445">
        <f t="shared" si="26"/>
        <v>-16.190476190476204</v>
      </c>
    </row>
    <row r="830" spans="1:13" x14ac:dyDescent="0.3">
      <c r="A830" s="124" t="s">
        <v>547</v>
      </c>
      <c r="B830" s="146" t="s">
        <v>592</v>
      </c>
      <c r="C830" s="146" t="s">
        <v>1057</v>
      </c>
      <c r="D830" s="124" t="s">
        <v>1055</v>
      </c>
      <c r="E830" s="146">
        <v>14.846282372598163</v>
      </c>
      <c r="F830" s="124">
        <v>11.332497911445278</v>
      </c>
      <c r="G830" s="124">
        <v>81.857142857142861</v>
      </c>
      <c r="H830" s="124">
        <v>81.857142857142861</v>
      </c>
      <c r="I830" s="124">
        <v>67.010860484544693</v>
      </c>
      <c r="J830" s="124">
        <v>93.189640768588134</v>
      </c>
      <c r="K830" s="445">
        <f t="shared" si="24"/>
        <v>-18.142857142857139</v>
      </c>
      <c r="L830" s="445">
        <f t="shared" si="25"/>
        <v>-32.989139515455307</v>
      </c>
      <c r="M830" s="445">
        <f t="shared" si="26"/>
        <v>-6.8103592314118657</v>
      </c>
    </row>
    <row r="831" spans="1:13" x14ac:dyDescent="0.3">
      <c r="A831" s="124" t="s">
        <v>547</v>
      </c>
      <c r="B831" s="146" t="s">
        <v>595</v>
      </c>
      <c r="C831" s="124" t="s">
        <v>1052</v>
      </c>
      <c r="D831" s="124" t="s">
        <v>1053</v>
      </c>
      <c r="E831" s="124">
        <v>8.0870032223415684</v>
      </c>
      <c r="F831" s="124">
        <v>16.370569280343716</v>
      </c>
      <c r="G831" s="124">
        <v>14.571428571428571</v>
      </c>
      <c r="H831" s="124">
        <v>14.571428571428571</v>
      </c>
      <c r="I831" s="124">
        <v>6.4844253490870027</v>
      </c>
      <c r="J831" s="124">
        <v>30.941997851772285</v>
      </c>
      <c r="K831" s="445">
        <f t="shared" ref="K831:K894" si="27">0-(100-H831)</f>
        <v>-85.428571428571431</v>
      </c>
      <c r="L831" s="445">
        <f t="shared" ref="L831:L894" si="28">0-(100-I831)</f>
        <v>-93.515574650912995</v>
      </c>
      <c r="M831" s="445">
        <f t="shared" ref="M831:M894" si="29">0-(100-J831)</f>
        <v>-69.058002148227715</v>
      </c>
    </row>
    <row r="832" spans="1:13" x14ac:dyDescent="0.3">
      <c r="A832" s="124" t="s">
        <v>547</v>
      </c>
      <c r="B832" s="124" t="s">
        <v>595</v>
      </c>
      <c r="C832" s="124" t="s">
        <v>1056</v>
      </c>
      <c r="D832" s="124" t="s">
        <v>1053</v>
      </c>
      <c r="E832" s="124">
        <v>19.683733142379758</v>
      </c>
      <c r="F832" s="124">
        <v>17.925766797947251</v>
      </c>
      <c r="G832" s="124">
        <v>75.142857142857139</v>
      </c>
      <c r="H832" s="124">
        <v>75.142857142857139</v>
      </c>
      <c r="I832" s="124">
        <v>55.459124000477381</v>
      </c>
      <c r="J832" s="124">
        <v>93.068623940804386</v>
      </c>
      <c r="K832" s="445">
        <f t="shared" si="27"/>
        <v>-24.857142857142861</v>
      </c>
      <c r="L832" s="445">
        <f t="shared" si="28"/>
        <v>-44.540875999522619</v>
      </c>
      <c r="M832" s="445">
        <f t="shared" si="29"/>
        <v>-6.9313760591956139</v>
      </c>
    </row>
    <row r="833" spans="1:13" x14ac:dyDescent="0.3">
      <c r="A833" s="124" t="s">
        <v>547</v>
      </c>
      <c r="B833" s="146" t="s">
        <v>595</v>
      </c>
      <c r="C833" s="146" t="s">
        <v>1057</v>
      </c>
      <c r="D833" s="146" t="s">
        <v>1053</v>
      </c>
      <c r="E833" s="124">
        <v>0</v>
      </c>
      <c r="F833" s="124">
        <v>0</v>
      </c>
      <c r="G833" s="124">
        <v>100</v>
      </c>
      <c r="H833" s="124">
        <v>100</v>
      </c>
      <c r="I833" s="124">
        <v>100</v>
      </c>
      <c r="J833" s="124">
        <v>100</v>
      </c>
      <c r="K833" s="445">
        <f t="shared" si="27"/>
        <v>0</v>
      </c>
      <c r="L833" s="445">
        <f t="shared" si="28"/>
        <v>0</v>
      </c>
      <c r="M833" s="445">
        <f t="shared" si="29"/>
        <v>0</v>
      </c>
    </row>
    <row r="834" spans="1:13" x14ac:dyDescent="0.3">
      <c r="A834" s="124" t="s">
        <v>547</v>
      </c>
      <c r="B834" s="146" t="s">
        <v>595</v>
      </c>
      <c r="C834" s="124" t="s">
        <v>1052</v>
      </c>
      <c r="D834" s="146" t="s">
        <v>1054</v>
      </c>
      <c r="E834" s="124">
        <v>4.2749731471535979</v>
      </c>
      <c r="F834" s="124">
        <v>12.019334049409236</v>
      </c>
      <c r="G834" s="124">
        <v>8.5714285714285712</v>
      </c>
      <c r="H834" s="124">
        <v>8.5714285714285712</v>
      </c>
      <c r="I834" s="124">
        <v>4.2964554242749733</v>
      </c>
      <c r="J834" s="124">
        <v>20.590762620837808</v>
      </c>
      <c r="K834" s="445">
        <f t="shared" si="27"/>
        <v>-91.428571428571431</v>
      </c>
      <c r="L834" s="445">
        <f t="shared" si="28"/>
        <v>-95.703544575725033</v>
      </c>
      <c r="M834" s="445">
        <f t="shared" si="29"/>
        <v>-79.409237379162192</v>
      </c>
    </row>
    <row r="835" spans="1:13" x14ac:dyDescent="0.3">
      <c r="A835" s="124" t="s">
        <v>547</v>
      </c>
      <c r="B835" s="124" t="s">
        <v>595</v>
      </c>
      <c r="C835" s="124" t="s">
        <v>1056</v>
      </c>
      <c r="D835" s="124" t="s">
        <v>1054</v>
      </c>
      <c r="E835" s="124">
        <v>17.188208616780042</v>
      </c>
      <c r="F835" s="124">
        <v>14.965986394557822</v>
      </c>
      <c r="G835" s="124">
        <v>65</v>
      </c>
      <c r="H835" s="124">
        <v>65</v>
      </c>
      <c r="I835" s="124">
        <v>47.811791383219955</v>
      </c>
      <c r="J835" s="124">
        <v>79.965986394557817</v>
      </c>
      <c r="K835" s="445">
        <f t="shared" si="27"/>
        <v>-35</v>
      </c>
      <c r="L835" s="445">
        <f t="shared" si="28"/>
        <v>-52.188208616780045</v>
      </c>
      <c r="M835" s="445">
        <f t="shared" si="29"/>
        <v>-20.034013605442183</v>
      </c>
    </row>
    <row r="836" spans="1:13" x14ac:dyDescent="0.3">
      <c r="A836" s="124" t="s">
        <v>547</v>
      </c>
      <c r="B836" s="124" t="s">
        <v>595</v>
      </c>
      <c r="C836" s="124" t="s">
        <v>1057</v>
      </c>
      <c r="D836" s="124" t="s">
        <v>1054</v>
      </c>
      <c r="E836" s="124">
        <v>4.3740232935279373</v>
      </c>
      <c r="F836" s="124">
        <v>2.1417760086490736</v>
      </c>
      <c r="G836" s="124">
        <v>98.428571428571431</v>
      </c>
      <c r="H836" s="124">
        <v>98.428571428571431</v>
      </c>
      <c r="I836" s="124">
        <v>94.05454813504349</v>
      </c>
      <c r="J836" s="124">
        <v>100.57034743722051</v>
      </c>
      <c r="K836" s="445">
        <f t="shared" si="27"/>
        <v>-1.5714285714285694</v>
      </c>
      <c r="L836" s="445">
        <f t="shared" si="28"/>
        <v>-5.9454518649565102</v>
      </c>
      <c r="M836" s="445">
        <f t="shared" si="29"/>
        <v>0.57034743722050507</v>
      </c>
    </row>
    <row r="837" spans="1:13" x14ac:dyDescent="0.3">
      <c r="A837" s="124" t="s">
        <v>547</v>
      </c>
      <c r="B837" s="124" t="s">
        <v>595</v>
      </c>
      <c r="C837" s="124" t="s">
        <v>1052</v>
      </c>
      <c r="D837" s="124" t="s">
        <v>1055</v>
      </c>
      <c r="E837" s="124">
        <v>6.9853204439670611</v>
      </c>
      <c r="F837" s="124">
        <v>22.155388471177947</v>
      </c>
      <c r="G837" s="124">
        <v>13.571428571428571</v>
      </c>
      <c r="H837" s="124">
        <v>13.571428571428571</v>
      </c>
      <c r="I837" s="124">
        <v>6.5861081274615101</v>
      </c>
      <c r="J837" s="124">
        <v>35.72681704260652</v>
      </c>
      <c r="K837" s="445">
        <f t="shared" si="27"/>
        <v>-86.428571428571431</v>
      </c>
      <c r="L837" s="445">
        <f t="shared" si="28"/>
        <v>-93.413891872538485</v>
      </c>
      <c r="M837" s="445">
        <f t="shared" si="29"/>
        <v>-64.273182957393487</v>
      </c>
    </row>
    <row r="838" spans="1:13" x14ac:dyDescent="0.3">
      <c r="A838" s="124" t="s">
        <v>547</v>
      </c>
      <c r="B838" s="124" t="s">
        <v>595</v>
      </c>
      <c r="C838" s="124" t="s">
        <v>1056</v>
      </c>
      <c r="D838" s="124" t="s">
        <v>1055</v>
      </c>
      <c r="E838" s="124">
        <v>18.777777777777775</v>
      </c>
      <c r="F838" s="124">
        <v>18.095238095238095</v>
      </c>
      <c r="G838" s="124">
        <v>65.714285714285708</v>
      </c>
      <c r="H838" s="124">
        <v>65.714285714285708</v>
      </c>
      <c r="I838" s="124">
        <v>46.936507936507937</v>
      </c>
      <c r="J838" s="124">
        <v>83.809523809523796</v>
      </c>
      <c r="K838" s="445">
        <f t="shared" si="27"/>
        <v>-34.285714285714292</v>
      </c>
      <c r="L838" s="445">
        <f t="shared" si="28"/>
        <v>-53.063492063492063</v>
      </c>
      <c r="M838" s="445">
        <f t="shared" si="29"/>
        <v>-16.190476190476204</v>
      </c>
    </row>
    <row r="839" spans="1:13" x14ac:dyDescent="0.3">
      <c r="A839" s="124" t="s">
        <v>547</v>
      </c>
      <c r="B839" s="146" t="s">
        <v>595</v>
      </c>
      <c r="C839" s="146" t="s">
        <v>1057</v>
      </c>
      <c r="D839" s="124" t="s">
        <v>1055</v>
      </c>
      <c r="E839" s="146">
        <v>14.846282372598163</v>
      </c>
      <c r="F839" s="124">
        <v>11.332497911445278</v>
      </c>
      <c r="G839" s="124">
        <v>81.857142857142861</v>
      </c>
      <c r="H839" s="124">
        <v>81.857142857142861</v>
      </c>
      <c r="I839" s="124">
        <v>67.010860484544693</v>
      </c>
      <c r="J839" s="124">
        <v>93.189640768588134</v>
      </c>
      <c r="K839" s="445">
        <f t="shared" si="27"/>
        <v>-18.142857142857139</v>
      </c>
      <c r="L839" s="445">
        <f t="shared" si="28"/>
        <v>-32.989139515455307</v>
      </c>
      <c r="M839" s="445">
        <f t="shared" si="29"/>
        <v>-6.8103592314118657</v>
      </c>
    </row>
    <row r="840" spans="1:13" x14ac:dyDescent="0.3">
      <c r="A840" s="124" t="s">
        <v>547</v>
      </c>
      <c r="B840" s="146" t="s">
        <v>597</v>
      </c>
      <c r="C840" s="124" t="s">
        <v>1052</v>
      </c>
      <c r="D840" s="124" t="s">
        <v>1053</v>
      </c>
      <c r="E840" s="124">
        <v>8.0870032223415684</v>
      </c>
      <c r="F840" s="124">
        <v>16.370569280343716</v>
      </c>
      <c r="G840" s="124">
        <v>14.571428571428571</v>
      </c>
      <c r="H840" s="124">
        <v>14.571428571428571</v>
      </c>
      <c r="I840" s="124">
        <v>6.4844253490870027</v>
      </c>
      <c r="J840" s="124">
        <v>30.941997851772285</v>
      </c>
      <c r="K840" s="445">
        <f t="shared" si="27"/>
        <v>-85.428571428571431</v>
      </c>
      <c r="L840" s="445">
        <f t="shared" si="28"/>
        <v>-93.515574650912995</v>
      </c>
      <c r="M840" s="445">
        <f t="shared" si="29"/>
        <v>-69.058002148227715</v>
      </c>
    </row>
    <row r="841" spans="1:13" x14ac:dyDescent="0.3">
      <c r="A841" s="124" t="s">
        <v>547</v>
      </c>
      <c r="B841" s="124" t="s">
        <v>597</v>
      </c>
      <c r="C841" s="124" t="s">
        <v>1056</v>
      </c>
      <c r="D841" s="124" t="s">
        <v>1053</v>
      </c>
      <c r="E841" s="124">
        <v>19.683733142379758</v>
      </c>
      <c r="F841" s="124">
        <v>17.925766797947251</v>
      </c>
      <c r="G841" s="124">
        <v>75.142857142857139</v>
      </c>
      <c r="H841" s="124">
        <v>75.142857142857139</v>
      </c>
      <c r="I841" s="124">
        <v>55.459124000477381</v>
      </c>
      <c r="J841" s="124">
        <v>93.068623940804386</v>
      </c>
      <c r="K841" s="445">
        <f t="shared" si="27"/>
        <v>-24.857142857142861</v>
      </c>
      <c r="L841" s="445">
        <f t="shared" si="28"/>
        <v>-44.540875999522619</v>
      </c>
      <c r="M841" s="445">
        <f t="shared" si="29"/>
        <v>-6.9313760591956139</v>
      </c>
    </row>
    <row r="842" spans="1:13" x14ac:dyDescent="0.3">
      <c r="A842" s="124" t="s">
        <v>547</v>
      </c>
      <c r="B842" s="146" t="s">
        <v>597</v>
      </c>
      <c r="C842" s="146" t="s">
        <v>1057</v>
      </c>
      <c r="D842" s="146" t="s">
        <v>1053</v>
      </c>
      <c r="E842" s="124">
        <v>0</v>
      </c>
      <c r="F842" s="124">
        <v>0</v>
      </c>
      <c r="G842" s="124">
        <v>100</v>
      </c>
      <c r="H842" s="124">
        <v>100</v>
      </c>
      <c r="I842" s="124">
        <v>100</v>
      </c>
      <c r="J842" s="124">
        <v>100</v>
      </c>
      <c r="K842" s="445">
        <f t="shared" si="27"/>
        <v>0</v>
      </c>
      <c r="L842" s="445">
        <f t="shared" si="28"/>
        <v>0</v>
      </c>
      <c r="M842" s="445">
        <f t="shared" si="29"/>
        <v>0</v>
      </c>
    </row>
    <row r="843" spans="1:13" x14ac:dyDescent="0.3">
      <c r="A843" s="124" t="s">
        <v>547</v>
      </c>
      <c r="B843" s="146" t="s">
        <v>597</v>
      </c>
      <c r="C843" s="124" t="s">
        <v>1052</v>
      </c>
      <c r="D843" s="146" t="s">
        <v>1054</v>
      </c>
      <c r="E843" s="124">
        <v>4.2749731471535979</v>
      </c>
      <c r="F843" s="124">
        <v>12.019334049409236</v>
      </c>
      <c r="G843" s="124">
        <v>8.5714285714285712</v>
      </c>
      <c r="H843" s="124">
        <v>8.5714285714285712</v>
      </c>
      <c r="I843" s="124">
        <v>4.2964554242749733</v>
      </c>
      <c r="J843" s="124">
        <v>20.590762620837808</v>
      </c>
      <c r="K843" s="445">
        <f t="shared" si="27"/>
        <v>-91.428571428571431</v>
      </c>
      <c r="L843" s="445">
        <f t="shared" si="28"/>
        <v>-95.703544575725033</v>
      </c>
      <c r="M843" s="445">
        <f t="shared" si="29"/>
        <v>-79.409237379162192</v>
      </c>
    </row>
    <row r="844" spans="1:13" x14ac:dyDescent="0.3">
      <c r="A844" s="124" t="s">
        <v>547</v>
      </c>
      <c r="B844" s="124" t="s">
        <v>597</v>
      </c>
      <c r="C844" s="124" t="s">
        <v>1056</v>
      </c>
      <c r="D844" s="124" t="s">
        <v>1054</v>
      </c>
      <c r="E844" s="124">
        <v>17.188208616780042</v>
      </c>
      <c r="F844" s="124">
        <v>14.965986394557822</v>
      </c>
      <c r="G844" s="124">
        <v>65</v>
      </c>
      <c r="H844" s="124">
        <v>65</v>
      </c>
      <c r="I844" s="124">
        <v>47.811791383219955</v>
      </c>
      <c r="J844" s="124">
        <v>79.965986394557817</v>
      </c>
      <c r="K844" s="445">
        <f t="shared" si="27"/>
        <v>-35</v>
      </c>
      <c r="L844" s="445">
        <f t="shared" si="28"/>
        <v>-52.188208616780045</v>
      </c>
      <c r="M844" s="445">
        <f t="shared" si="29"/>
        <v>-20.034013605442183</v>
      </c>
    </row>
    <row r="845" spans="1:13" x14ac:dyDescent="0.3">
      <c r="A845" s="124" t="s">
        <v>547</v>
      </c>
      <c r="B845" s="124" t="s">
        <v>597</v>
      </c>
      <c r="C845" s="124" t="s">
        <v>1057</v>
      </c>
      <c r="D845" s="124" t="s">
        <v>1054</v>
      </c>
      <c r="E845" s="124">
        <v>4.3740232935279373</v>
      </c>
      <c r="F845" s="124">
        <v>2.1417760086490736</v>
      </c>
      <c r="G845" s="124">
        <v>98.428571428571431</v>
      </c>
      <c r="H845" s="124">
        <v>98.428571428571431</v>
      </c>
      <c r="I845" s="124">
        <v>94.05454813504349</v>
      </c>
      <c r="J845" s="124">
        <v>100.57034743722051</v>
      </c>
      <c r="K845" s="445">
        <f t="shared" si="27"/>
        <v>-1.5714285714285694</v>
      </c>
      <c r="L845" s="445">
        <f t="shared" si="28"/>
        <v>-5.9454518649565102</v>
      </c>
      <c r="M845" s="445">
        <f t="shared" si="29"/>
        <v>0.57034743722050507</v>
      </c>
    </row>
    <row r="846" spans="1:13" x14ac:dyDescent="0.3">
      <c r="A846" s="124" t="s">
        <v>547</v>
      </c>
      <c r="B846" s="124" t="s">
        <v>597</v>
      </c>
      <c r="C846" s="124" t="s">
        <v>1052</v>
      </c>
      <c r="D846" s="124" t="s">
        <v>1055</v>
      </c>
      <c r="E846" s="124">
        <v>6.9853204439670611</v>
      </c>
      <c r="F846" s="124">
        <v>22.155388471177947</v>
      </c>
      <c r="G846" s="124">
        <v>13.571428571428571</v>
      </c>
      <c r="H846" s="124">
        <v>13.571428571428571</v>
      </c>
      <c r="I846" s="124">
        <v>6.5861081274615101</v>
      </c>
      <c r="J846" s="124">
        <v>35.72681704260652</v>
      </c>
      <c r="K846" s="445">
        <f t="shared" si="27"/>
        <v>-86.428571428571431</v>
      </c>
      <c r="L846" s="445">
        <f t="shared" si="28"/>
        <v>-93.413891872538485</v>
      </c>
      <c r="M846" s="445">
        <f t="shared" si="29"/>
        <v>-64.273182957393487</v>
      </c>
    </row>
    <row r="847" spans="1:13" x14ac:dyDescent="0.3">
      <c r="A847" s="124" t="s">
        <v>547</v>
      </c>
      <c r="B847" s="124" t="s">
        <v>597</v>
      </c>
      <c r="C847" s="124" t="s">
        <v>1056</v>
      </c>
      <c r="D847" s="124" t="s">
        <v>1055</v>
      </c>
      <c r="E847" s="124">
        <v>18.777777777777775</v>
      </c>
      <c r="F847" s="124">
        <v>18.095238095238095</v>
      </c>
      <c r="G847" s="124">
        <v>65.714285714285708</v>
      </c>
      <c r="H847" s="124">
        <v>65.714285714285708</v>
      </c>
      <c r="I847" s="124">
        <v>46.936507936507937</v>
      </c>
      <c r="J847" s="124">
        <v>83.809523809523796</v>
      </c>
      <c r="K847" s="445">
        <f t="shared" si="27"/>
        <v>-34.285714285714292</v>
      </c>
      <c r="L847" s="445">
        <f t="shared" si="28"/>
        <v>-53.063492063492063</v>
      </c>
      <c r="M847" s="445">
        <f t="shared" si="29"/>
        <v>-16.190476190476204</v>
      </c>
    </row>
    <row r="848" spans="1:13" x14ac:dyDescent="0.3">
      <c r="A848" s="124" t="s">
        <v>547</v>
      </c>
      <c r="B848" s="146" t="s">
        <v>597</v>
      </c>
      <c r="C848" s="146" t="s">
        <v>1057</v>
      </c>
      <c r="D848" s="124" t="s">
        <v>1055</v>
      </c>
      <c r="E848" s="146">
        <v>14.846282372598163</v>
      </c>
      <c r="F848" s="124">
        <v>11.332497911445278</v>
      </c>
      <c r="G848" s="124">
        <v>81.857142857142861</v>
      </c>
      <c r="H848" s="124">
        <v>81.857142857142861</v>
      </c>
      <c r="I848" s="124">
        <v>67.010860484544693</v>
      </c>
      <c r="J848" s="124">
        <v>93.189640768588134</v>
      </c>
      <c r="K848" s="445">
        <f t="shared" si="27"/>
        <v>-18.142857142857139</v>
      </c>
      <c r="L848" s="445">
        <f t="shared" si="28"/>
        <v>-32.989139515455307</v>
      </c>
      <c r="M848" s="445">
        <f t="shared" si="29"/>
        <v>-6.8103592314118657</v>
      </c>
    </row>
    <row r="849" spans="1:13" x14ac:dyDescent="0.3">
      <c r="A849" s="124" t="s">
        <v>547</v>
      </c>
      <c r="B849" s="146" t="s">
        <v>600</v>
      </c>
      <c r="C849" s="124" t="s">
        <v>1052</v>
      </c>
      <c r="D849" s="124" t="s">
        <v>1053</v>
      </c>
      <c r="E849" s="124">
        <v>8.704014939309058</v>
      </c>
      <c r="F849" s="124">
        <v>13.98185941043084</v>
      </c>
      <c r="G849" s="124">
        <v>18.285714285714285</v>
      </c>
      <c r="H849" s="124">
        <v>18.285714285714285</v>
      </c>
      <c r="I849" s="124">
        <v>9.5816993464052267</v>
      </c>
      <c r="J849" s="124">
        <v>32.267573696145121</v>
      </c>
      <c r="K849" s="445">
        <f t="shared" si="27"/>
        <v>-81.714285714285722</v>
      </c>
      <c r="L849" s="445">
        <f t="shared" si="28"/>
        <v>-90.41830065359477</v>
      </c>
      <c r="M849" s="445">
        <f t="shared" si="29"/>
        <v>-67.732426303854879</v>
      </c>
    </row>
    <row r="850" spans="1:13" x14ac:dyDescent="0.3">
      <c r="A850" s="124" t="s">
        <v>547</v>
      </c>
      <c r="B850" s="124" t="s">
        <v>600</v>
      </c>
      <c r="C850" s="124" t="s">
        <v>1056</v>
      </c>
      <c r="D850" s="124" t="s">
        <v>1053</v>
      </c>
      <c r="E850" s="124">
        <v>14.620241078887696</v>
      </c>
      <c r="F850" s="124">
        <v>14.152524167561761</v>
      </c>
      <c r="G850" s="124">
        <v>85.428571428571431</v>
      </c>
      <c r="H850" s="124">
        <v>85.428571428571431</v>
      </c>
      <c r="I850" s="124">
        <v>70.808330349683729</v>
      </c>
      <c r="J850" s="124">
        <v>99.581095596133196</v>
      </c>
      <c r="K850" s="445">
        <f t="shared" si="27"/>
        <v>-14.571428571428569</v>
      </c>
      <c r="L850" s="445">
        <f t="shared" si="28"/>
        <v>-29.191669650316271</v>
      </c>
      <c r="M850" s="445">
        <f t="shared" si="29"/>
        <v>-0.41890440386680439</v>
      </c>
    </row>
    <row r="851" spans="1:13" x14ac:dyDescent="0.3">
      <c r="A851" s="124" t="s">
        <v>547</v>
      </c>
      <c r="B851" s="146" t="s">
        <v>600</v>
      </c>
      <c r="C851" s="146" t="s">
        <v>1057</v>
      </c>
      <c r="D851" s="146" t="s">
        <v>1053</v>
      </c>
      <c r="E851" s="124">
        <v>0</v>
      </c>
      <c r="F851" s="124">
        <v>0</v>
      </c>
      <c r="G851" s="124">
        <v>100</v>
      </c>
      <c r="H851" s="124">
        <v>100</v>
      </c>
      <c r="I851" s="124">
        <v>100</v>
      </c>
      <c r="J851" s="124">
        <v>100</v>
      </c>
      <c r="K851" s="445">
        <f t="shared" si="27"/>
        <v>0</v>
      </c>
      <c r="L851" s="445">
        <f t="shared" si="28"/>
        <v>0</v>
      </c>
      <c r="M851" s="445">
        <f t="shared" si="29"/>
        <v>0</v>
      </c>
    </row>
    <row r="852" spans="1:13" x14ac:dyDescent="0.3">
      <c r="A852" s="124" t="s">
        <v>547</v>
      </c>
      <c r="B852" s="146" t="s">
        <v>600</v>
      </c>
      <c r="C852" s="124" t="s">
        <v>1052</v>
      </c>
      <c r="D852" s="124" t="s">
        <v>1054</v>
      </c>
      <c r="E852" s="124">
        <v>7.6937441643323998</v>
      </c>
      <c r="F852" s="124">
        <v>10.875016673336003</v>
      </c>
      <c r="G852" s="124">
        <v>15</v>
      </c>
      <c r="H852" s="124">
        <v>15</v>
      </c>
      <c r="I852" s="124">
        <v>7.3062558356676002</v>
      </c>
      <c r="J852" s="124">
        <v>25.875016673336003</v>
      </c>
      <c r="K852" s="445">
        <f t="shared" si="27"/>
        <v>-85</v>
      </c>
      <c r="L852" s="445">
        <f t="shared" si="28"/>
        <v>-92.693744164332401</v>
      </c>
      <c r="M852" s="445">
        <f t="shared" si="29"/>
        <v>-74.124983326663994</v>
      </c>
    </row>
    <row r="853" spans="1:13" x14ac:dyDescent="0.3">
      <c r="A853" s="124" t="s">
        <v>547</v>
      </c>
      <c r="B853" s="124" t="s">
        <v>600</v>
      </c>
      <c r="C853" s="124" t="s">
        <v>1056</v>
      </c>
      <c r="D853" s="124" t="s">
        <v>1054</v>
      </c>
      <c r="E853" s="124">
        <v>13.665466186474589</v>
      </c>
      <c r="F853" s="124">
        <v>15.902227557689741</v>
      </c>
      <c r="G853" s="124">
        <v>76.857142857142861</v>
      </c>
      <c r="H853" s="124">
        <v>76.857142857142861</v>
      </c>
      <c r="I853" s="124">
        <v>63.191676670668272</v>
      </c>
      <c r="J853" s="124">
        <v>92.759370414832603</v>
      </c>
      <c r="K853" s="445">
        <f t="shared" si="27"/>
        <v>-23.142857142857139</v>
      </c>
      <c r="L853" s="445">
        <f t="shared" si="28"/>
        <v>-36.808323329331728</v>
      </c>
      <c r="M853" s="445">
        <f t="shared" si="29"/>
        <v>-7.2406295851673974</v>
      </c>
    </row>
    <row r="854" spans="1:13" x14ac:dyDescent="0.3">
      <c r="A854" s="124" t="s">
        <v>547</v>
      </c>
      <c r="B854" s="124" t="s">
        <v>600</v>
      </c>
      <c r="C854" s="124" t="s">
        <v>1057</v>
      </c>
      <c r="D854" s="124" t="s">
        <v>1054</v>
      </c>
      <c r="E854" s="124">
        <v>5.6371811882647807</v>
      </c>
      <c r="F854" s="124">
        <v>2.7499631431519975</v>
      </c>
      <c r="G854" s="124">
        <v>98.428571428571431</v>
      </c>
      <c r="H854" s="124">
        <v>98.428571428571431</v>
      </c>
      <c r="I854" s="124">
        <v>92.791390240306654</v>
      </c>
      <c r="J854" s="124">
        <v>101.17853457172343</v>
      </c>
      <c r="K854" s="445">
        <f t="shared" si="27"/>
        <v>-1.5714285714285694</v>
      </c>
      <c r="L854" s="445">
        <f t="shared" si="28"/>
        <v>-7.2086097596933456</v>
      </c>
      <c r="M854" s="445">
        <f t="shared" si="29"/>
        <v>1.1785345717234321</v>
      </c>
    </row>
    <row r="855" spans="1:13" x14ac:dyDescent="0.3">
      <c r="A855" s="124" t="s">
        <v>547</v>
      </c>
      <c r="B855" s="124" t="s">
        <v>600</v>
      </c>
      <c r="C855" s="124" t="s">
        <v>1052</v>
      </c>
      <c r="D855" s="124" t="s">
        <v>1055</v>
      </c>
      <c r="E855" s="124">
        <v>12.868347338935575</v>
      </c>
      <c r="F855" s="124">
        <v>15.562064825930372</v>
      </c>
      <c r="G855" s="124">
        <v>21.857142857142858</v>
      </c>
      <c r="H855" s="124">
        <v>21.857142857142858</v>
      </c>
      <c r="I855" s="124">
        <v>8.988795518207283</v>
      </c>
      <c r="J855" s="124">
        <v>37.419207683073232</v>
      </c>
      <c r="K855" s="445">
        <f t="shared" si="27"/>
        <v>-78.142857142857139</v>
      </c>
      <c r="L855" s="445">
        <f t="shared" si="28"/>
        <v>-91.011204481792717</v>
      </c>
      <c r="M855" s="445">
        <f t="shared" si="29"/>
        <v>-62.580792316926768</v>
      </c>
    </row>
    <row r="856" spans="1:13" x14ac:dyDescent="0.3">
      <c r="A856" s="124" t="s">
        <v>547</v>
      </c>
      <c r="B856" s="124" t="s">
        <v>600</v>
      </c>
      <c r="C856" s="124" t="s">
        <v>1056</v>
      </c>
      <c r="D856" s="124" t="s">
        <v>1055</v>
      </c>
      <c r="E856" s="124">
        <v>13.379591836734692</v>
      </c>
      <c r="F856" s="124">
        <v>13.521995464852607</v>
      </c>
      <c r="G856" s="124">
        <v>76.714285714285708</v>
      </c>
      <c r="H856" s="124">
        <v>76.714285714285708</v>
      </c>
      <c r="I856" s="124">
        <v>63.334693877551018</v>
      </c>
      <c r="J856" s="124">
        <v>90.236281179138317</v>
      </c>
      <c r="K856" s="445">
        <f t="shared" si="27"/>
        <v>-23.285714285714292</v>
      </c>
      <c r="L856" s="445">
        <f t="shared" si="28"/>
        <v>-36.665306122448982</v>
      </c>
      <c r="M856" s="445">
        <f t="shared" si="29"/>
        <v>-9.7637188208616834</v>
      </c>
    </row>
    <row r="857" spans="1:13" x14ac:dyDescent="0.3">
      <c r="A857" s="124" t="s">
        <v>547</v>
      </c>
      <c r="B857" s="146" t="s">
        <v>600</v>
      </c>
      <c r="C857" s="146" t="s">
        <v>1057</v>
      </c>
      <c r="D857" s="124" t="s">
        <v>1055</v>
      </c>
      <c r="E857" s="146">
        <v>12.653968253968255</v>
      </c>
      <c r="F857" s="124">
        <v>7.7396825396825397</v>
      </c>
      <c r="G857" s="124">
        <v>89.571428571428569</v>
      </c>
      <c r="H857" s="124">
        <v>89.571428571428569</v>
      </c>
      <c r="I857" s="124">
        <v>76.917460317460311</v>
      </c>
      <c r="J857" s="124">
        <v>97.311111111111103</v>
      </c>
      <c r="K857" s="445">
        <f t="shared" si="27"/>
        <v>-10.428571428571431</v>
      </c>
      <c r="L857" s="445">
        <f t="shared" si="28"/>
        <v>-23.082539682539689</v>
      </c>
      <c r="M857" s="445">
        <f t="shared" si="29"/>
        <v>-2.6888888888888971</v>
      </c>
    </row>
    <row r="858" spans="1:13" x14ac:dyDescent="0.3">
      <c r="A858" s="124" t="s">
        <v>547</v>
      </c>
      <c r="B858" s="124" t="s">
        <v>603</v>
      </c>
      <c r="C858" s="124" t="s">
        <v>1052</v>
      </c>
      <c r="D858" s="124" t="s">
        <v>1053</v>
      </c>
      <c r="E858" s="124">
        <v>13.403227957849806</v>
      </c>
      <c r="F858" s="124">
        <v>21.514739229024944</v>
      </c>
      <c r="G858" s="124">
        <v>30.142857142857142</v>
      </c>
      <c r="H858" s="124">
        <v>30.142857142857142</v>
      </c>
      <c r="I858" s="124">
        <v>16.739629185007338</v>
      </c>
      <c r="J858" s="124">
        <v>51.657596371882086</v>
      </c>
      <c r="K858" s="445">
        <f t="shared" si="27"/>
        <v>-69.857142857142861</v>
      </c>
      <c r="L858" s="445">
        <f t="shared" si="28"/>
        <v>-83.260370814992655</v>
      </c>
      <c r="M858" s="445">
        <f t="shared" si="29"/>
        <v>-48.342403628117914</v>
      </c>
    </row>
    <row r="859" spans="1:13" x14ac:dyDescent="0.3">
      <c r="A859" s="124" t="s">
        <v>547</v>
      </c>
      <c r="B859" s="124" t="s">
        <v>603</v>
      </c>
      <c r="C859" s="124" t="s">
        <v>1056</v>
      </c>
      <c r="D859" s="124" t="s">
        <v>1053</v>
      </c>
      <c r="E859" s="124">
        <v>10.404688191065901</v>
      </c>
      <c r="F859" s="124">
        <v>10.517470145953117</v>
      </c>
      <c r="G859" s="124">
        <v>89.428571428571431</v>
      </c>
      <c r="H859" s="124">
        <v>89.428571428571431</v>
      </c>
      <c r="I859" s="124">
        <v>79.02388323750553</v>
      </c>
      <c r="J859" s="124">
        <v>99.946041574524543</v>
      </c>
      <c r="K859" s="445">
        <f t="shared" si="27"/>
        <v>-10.571428571428569</v>
      </c>
      <c r="L859" s="445">
        <f t="shared" si="28"/>
        <v>-20.97611676249447</v>
      </c>
      <c r="M859" s="445">
        <f t="shared" si="29"/>
        <v>-5.3958425475457261E-2</v>
      </c>
    </row>
    <row r="860" spans="1:13" x14ac:dyDescent="0.3">
      <c r="A860" s="124" t="s">
        <v>547</v>
      </c>
      <c r="B860" s="124" t="s">
        <v>603</v>
      </c>
      <c r="C860" s="146" t="s">
        <v>1057</v>
      </c>
      <c r="D860" s="146" t="s">
        <v>1053</v>
      </c>
      <c r="E860" s="124">
        <v>0</v>
      </c>
      <c r="F860" s="124">
        <v>0</v>
      </c>
      <c r="G860" s="124">
        <v>100</v>
      </c>
      <c r="H860" s="124">
        <v>100</v>
      </c>
      <c r="I860" s="124">
        <v>100</v>
      </c>
      <c r="J860" s="124">
        <v>100</v>
      </c>
      <c r="K860" s="445">
        <f t="shared" si="27"/>
        <v>0</v>
      </c>
      <c r="L860" s="445">
        <f t="shared" si="28"/>
        <v>0</v>
      </c>
      <c r="M860" s="445">
        <f t="shared" si="29"/>
        <v>0</v>
      </c>
    </row>
    <row r="861" spans="1:13" x14ac:dyDescent="0.3">
      <c r="A861" s="124" t="s">
        <v>547</v>
      </c>
      <c r="B861" s="146" t="s">
        <v>603</v>
      </c>
      <c r="C861" s="124" t="s">
        <v>1052</v>
      </c>
      <c r="D861" s="124" t="s">
        <v>1054</v>
      </c>
      <c r="E861" s="124">
        <v>11.880752300920367</v>
      </c>
      <c r="F861" s="124">
        <v>20.104041616646661</v>
      </c>
      <c r="G861" s="124">
        <v>27.142857142857142</v>
      </c>
      <c r="H861" s="124">
        <v>27.142857142857142</v>
      </c>
      <c r="I861" s="124">
        <v>15.262104841936775</v>
      </c>
      <c r="J861" s="124">
        <v>47.246898759503807</v>
      </c>
      <c r="K861" s="445">
        <f t="shared" si="27"/>
        <v>-72.857142857142861</v>
      </c>
      <c r="L861" s="445">
        <f t="shared" si="28"/>
        <v>-84.737895158063225</v>
      </c>
      <c r="M861" s="445">
        <f t="shared" si="29"/>
        <v>-52.753101240496193</v>
      </c>
    </row>
    <row r="862" spans="1:13" x14ac:dyDescent="0.3">
      <c r="A862" s="124" t="s">
        <v>547</v>
      </c>
      <c r="B862" s="124" t="s">
        <v>603</v>
      </c>
      <c r="C862" s="124" t="s">
        <v>1056</v>
      </c>
      <c r="D862" s="124" t="s">
        <v>1054</v>
      </c>
      <c r="E862" s="124">
        <v>11.218487394957984</v>
      </c>
      <c r="F862" s="124">
        <v>10.546218487394958</v>
      </c>
      <c r="G862" s="124">
        <v>83.571428571428569</v>
      </c>
      <c r="H862" s="124">
        <v>83.571428571428569</v>
      </c>
      <c r="I862" s="124">
        <v>72.35294117647058</v>
      </c>
      <c r="J862" s="124">
        <v>94.117647058823522</v>
      </c>
      <c r="K862" s="445">
        <f t="shared" si="27"/>
        <v>-16.428571428571431</v>
      </c>
      <c r="L862" s="445">
        <f t="shared" si="28"/>
        <v>-27.64705882352942</v>
      </c>
      <c r="M862" s="445">
        <f t="shared" si="29"/>
        <v>-5.8823529411764781</v>
      </c>
    </row>
    <row r="863" spans="1:13" x14ac:dyDescent="0.3">
      <c r="A863" s="124" t="s">
        <v>547</v>
      </c>
      <c r="B863" s="124" t="s">
        <v>603</v>
      </c>
      <c r="C863" s="124" t="s">
        <v>1057</v>
      </c>
      <c r="D863" s="124" t="s">
        <v>1054</v>
      </c>
      <c r="E863" s="124">
        <v>9.2810457516339859</v>
      </c>
      <c r="F863" s="124">
        <v>7.3762838468720826</v>
      </c>
      <c r="G863" s="124">
        <v>100</v>
      </c>
      <c r="H863" s="124">
        <v>100</v>
      </c>
      <c r="I863" s="124">
        <v>90.718954248366018</v>
      </c>
      <c r="J863" s="124">
        <v>107.37628384687208</v>
      </c>
      <c r="K863" s="445">
        <f t="shared" si="27"/>
        <v>0</v>
      </c>
      <c r="L863" s="445">
        <f t="shared" si="28"/>
        <v>-9.2810457516339824</v>
      </c>
      <c r="M863" s="445">
        <f t="shared" si="29"/>
        <v>7.3762838468720844</v>
      </c>
    </row>
    <row r="864" spans="1:13" x14ac:dyDescent="0.3">
      <c r="A864" s="124" t="s">
        <v>547</v>
      </c>
      <c r="B864" s="124" t="s">
        <v>603</v>
      </c>
      <c r="C864" s="124" t="s">
        <v>1052</v>
      </c>
      <c r="D864" s="124" t="s">
        <v>1055</v>
      </c>
      <c r="E864" s="124">
        <v>17.573696145124718</v>
      </c>
      <c r="F864" s="124">
        <v>16.723356009070294</v>
      </c>
      <c r="G864" s="124">
        <v>45</v>
      </c>
      <c r="H864" s="124">
        <v>45</v>
      </c>
      <c r="I864" s="124">
        <v>27.426303854875282</v>
      </c>
      <c r="J864" s="124">
        <v>61.723356009070294</v>
      </c>
      <c r="K864" s="445">
        <f t="shared" si="27"/>
        <v>-55</v>
      </c>
      <c r="L864" s="445">
        <f t="shared" si="28"/>
        <v>-72.573696145124714</v>
      </c>
      <c r="M864" s="445">
        <f t="shared" si="29"/>
        <v>-38.276643990929706</v>
      </c>
    </row>
    <row r="865" spans="1:13" x14ac:dyDescent="0.3">
      <c r="A865" s="124" t="s">
        <v>547</v>
      </c>
      <c r="B865" s="146" t="s">
        <v>603</v>
      </c>
      <c r="C865" s="146" t="s">
        <v>1056</v>
      </c>
      <c r="D865" s="124" t="s">
        <v>1055</v>
      </c>
      <c r="E865" s="146">
        <v>19.126984126984127</v>
      </c>
      <c r="F865" s="124">
        <v>10.192743764172336</v>
      </c>
      <c r="G865" s="124">
        <v>90.714285714285708</v>
      </c>
      <c r="H865" s="124">
        <v>90.714285714285708</v>
      </c>
      <c r="I865" s="124">
        <v>71.587301587301582</v>
      </c>
      <c r="J865" s="124">
        <v>100.90702947845804</v>
      </c>
      <c r="K865" s="445">
        <f t="shared" si="27"/>
        <v>-9.2857142857142918</v>
      </c>
      <c r="L865" s="445">
        <f t="shared" si="28"/>
        <v>-28.412698412698418</v>
      </c>
      <c r="M865" s="445">
        <f t="shared" si="29"/>
        <v>0.9070294784580426</v>
      </c>
    </row>
    <row r="866" spans="1:13" x14ac:dyDescent="0.3">
      <c r="A866" s="124" t="s">
        <v>547</v>
      </c>
      <c r="B866" s="146" t="s">
        <v>603</v>
      </c>
      <c r="C866" s="146" t="s">
        <v>1057</v>
      </c>
      <c r="D866" s="146" t="s">
        <v>1055</v>
      </c>
      <c r="E866" s="146">
        <v>15.538081899426436</v>
      </c>
      <c r="F866" s="146">
        <v>12.821928771508601</v>
      </c>
      <c r="G866" s="146">
        <v>99</v>
      </c>
      <c r="H866" s="146">
        <v>99</v>
      </c>
      <c r="I866" s="146">
        <v>83.46191810057357</v>
      </c>
      <c r="J866" s="146">
        <v>111.8219287715086</v>
      </c>
      <c r="K866" s="445">
        <f t="shared" si="27"/>
        <v>-1</v>
      </c>
      <c r="L866" s="445">
        <f t="shared" si="28"/>
        <v>-16.53808189942643</v>
      </c>
      <c r="M866" s="445">
        <f t="shared" si="29"/>
        <v>11.821928771508595</v>
      </c>
    </row>
    <row r="867" spans="1:13" x14ac:dyDescent="0.3">
      <c r="A867" s="124" t="s">
        <v>547</v>
      </c>
      <c r="B867" s="124" t="s">
        <v>606</v>
      </c>
      <c r="C867" s="124" t="s">
        <v>1052</v>
      </c>
      <c r="D867" s="124" t="s">
        <v>1053</v>
      </c>
      <c r="E867" s="124">
        <v>23.501990269792127</v>
      </c>
      <c r="F867" s="124">
        <v>23.038331121922454</v>
      </c>
      <c r="G867" s="124">
        <v>60</v>
      </c>
      <c r="H867" s="124">
        <v>60</v>
      </c>
      <c r="I867" s="124">
        <v>36.498009730207869</v>
      </c>
      <c r="J867" s="124">
        <v>83.038331121922454</v>
      </c>
      <c r="K867" s="445">
        <f t="shared" si="27"/>
        <v>-40</v>
      </c>
      <c r="L867" s="445">
        <f t="shared" si="28"/>
        <v>-63.501990269792131</v>
      </c>
      <c r="M867" s="445">
        <f t="shared" si="29"/>
        <v>-16.961668878077546</v>
      </c>
    </row>
    <row r="868" spans="1:13" x14ac:dyDescent="0.3">
      <c r="A868" s="124" t="s">
        <v>547</v>
      </c>
      <c r="B868" s="124" t="s">
        <v>606</v>
      </c>
      <c r="C868" s="124" t="s">
        <v>1056</v>
      </c>
      <c r="D868" s="124" t="s">
        <v>1053</v>
      </c>
      <c r="E868" s="124">
        <v>8.9565089193572174</v>
      </c>
      <c r="F868" s="124">
        <v>5.1369600471767649</v>
      </c>
      <c r="G868" s="124">
        <v>92</v>
      </c>
      <c r="H868" s="124">
        <v>92</v>
      </c>
      <c r="I868" s="124">
        <v>83.043491080642781</v>
      </c>
      <c r="J868" s="124">
        <v>97.136960047176771</v>
      </c>
      <c r="K868" s="445">
        <f t="shared" si="27"/>
        <v>-8</v>
      </c>
      <c r="L868" s="445">
        <f t="shared" si="28"/>
        <v>-16.956508919357219</v>
      </c>
      <c r="M868" s="445">
        <f t="shared" si="29"/>
        <v>-2.8630399528232289</v>
      </c>
    </row>
    <row r="869" spans="1:13" x14ac:dyDescent="0.3">
      <c r="A869" s="124" t="s">
        <v>547</v>
      </c>
      <c r="B869" s="124" t="s">
        <v>606</v>
      </c>
      <c r="C869" s="146" t="s">
        <v>1057</v>
      </c>
      <c r="D869" s="146" t="s">
        <v>1053</v>
      </c>
      <c r="E869" s="124">
        <v>0</v>
      </c>
      <c r="F869" s="124">
        <v>0</v>
      </c>
      <c r="G869" s="124">
        <v>100</v>
      </c>
      <c r="H869" s="124">
        <v>100</v>
      </c>
      <c r="I869" s="124">
        <v>100</v>
      </c>
      <c r="J869" s="124">
        <v>100</v>
      </c>
      <c r="K869" s="445">
        <f t="shared" si="27"/>
        <v>0</v>
      </c>
      <c r="L869" s="445">
        <f t="shared" si="28"/>
        <v>0</v>
      </c>
      <c r="M869" s="445">
        <f t="shared" si="29"/>
        <v>0</v>
      </c>
    </row>
    <row r="870" spans="1:13" x14ac:dyDescent="0.3">
      <c r="A870" s="124" t="s">
        <v>547</v>
      </c>
      <c r="B870" s="146" t="s">
        <v>606</v>
      </c>
      <c r="C870" s="146" t="s">
        <v>1052</v>
      </c>
      <c r="D870" s="146" t="s">
        <v>1054</v>
      </c>
      <c r="E870" s="146">
        <v>24.928771508603436</v>
      </c>
      <c r="F870" s="146">
        <v>18.192476990796315</v>
      </c>
      <c r="G870" s="146">
        <v>48.857142857142854</v>
      </c>
      <c r="H870" s="146">
        <v>48.857142857142854</v>
      </c>
      <c r="I870" s="146">
        <v>23.928371348539418</v>
      </c>
      <c r="J870" s="146">
        <v>67.049619847939169</v>
      </c>
      <c r="K870" s="445">
        <f t="shared" si="27"/>
        <v>-51.142857142857146</v>
      </c>
      <c r="L870" s="445">
        <f t="shared" si="28"/>
        <v>-76.071628651460586</v>
      </c>
      <c r="M870" s="445">
        <f t="shared" si="29"/>
        <v>-32.950380152060831</v>
      </c>
    </row>
    <row r="871" spans="1:13" x14ac:dyDescent="0.3">
      <c r="A871" s="124" t="s">
        <v>547</v>
      </c>
      <c r="B871" s="124" t="s">
        <v>606</v>
      </c>
      <c r="C871" s="124" t="s">
        <v>1056</v>
      </c>
      <c r="D871" s="124" t="s">
        <v>1054</v>
      </c>
      <c r="E871" s="124">
        <v>14.117647058823531</v>
      </c>
      <c r="F871" s="124">
        <v>7.9159663865546221</v>
      </c>
      <c r="G871" s="124">
        <v>85.714285714285708</v>
      </c>
      <c r="H871" s="124">
        <v>85.714285714285708</v>
      </c>
      <c r="I871" s="124">
        <v>71.596638655462172</v>
      </c>
      <c r="J871" s="124">
        <v>93.630252100840323</v>
      </c>
      <c r="K871" s="445">
        <f t="shared" si="27"/>
        <v>-14.285714285714292</v>
      </c>
      <c r="L871" s="445">
        <f t="shared" si="28"/>
        <v>-28.403361344537828</v>
      </c>
      <c r="M871" s="445">
        <f t="shared" si="29"/>
        <v>-6.3697478991596768</v>
      </c>
    </row>
    <row r="872" spans="1:13" x14ac:dyDescent="0.3">
      <c r="A872" s="124" t="s">
        <v>547</v>
      </c>
      <c r="B872" s="124" t="s">
        <v>606</v>
      </c>
      <c r="C872" s="124" t="s">
        <v>1057</v>
      </c>
      <c r="D872" s="124" t="s">
        <v>1054</v>
      </c>
      <c r="E872" s="124">
        <v>8.4970760233918128</v>
      </c>
      <c r="F872" s="124">
        <v>5.8011695906432745</v>
      </c>
      <c r="G872" s="124">
        <v>96.714285714285708</v>
      </c>
      <c r="H872" s="124">
        <v>96.714285714285708</v>
      </c>
      <c r="I872" s="124">
        <v>88.217209690893895</v>
      </c>
      <c r="J872" s="124">
        <v>102.51545530492898</v>
      </c>
      <c r="K872" s="445">
        <f t="shared" si="27"/>
        <v>-3.2857142857142918</v>
      </c>
      <c r="L872" s="445">
        <f t="shared" si="28"/>
        <v>-11.782790309106105</v>
      </c>
      <c r="M872" s="445">
        <f t="shared" si="29"/>
        <v>2.5154553049289774</v>
      </c>
    </row>
    <row r="873" spans="1:13" x14ac:dyDescent="0.3">
      <c r="A873" s="124" t="s">
        <v>547</v>
      </c>
      <c r="B873" s="124" t="s">
        <v>606</v>
      </c>
      <c r="C873" s="124" t="s">
        <v>1052</v>
      </c>
      <c r="D873" s="124" t="s">
        <v>1055</v>
      </c>
      <c r="E873" s="124">
        <v>20.087234893957582</v>
      </c>
      <c r="F873" s="124">
        <v>15.420568227290914</v>
      </c>
      <c r="G873" s="124">
        <v>50.714285714285715</v>
      </c>
      <c r="H873" s="124">
        <v>50.714285714285715</v>
      </c>
      <c r="I873" s="124">
        <v>30.627050820328133</v>
      </c>
      <c r="J873" s="124">
        <v>66.134853941576637</v>
      </c>
      <c r="K873" s="445">
        <f t="shared" si="27"/>
        <v>-49.285714285714285</v>
      </c>
      <c r="L873" s="445">
        <f t="shared" si="28"/>
        <v>-69.372949179671863</v>
      </c>
      <c r="M873" s="445">
        <f t="shared" si="29"/>
        <v>-33.865146058423363</v>
      </c>
    </row>
    <row r="874" spans="1:13" x14ac:dyDescent="0.3">
      <c r="A874" s="124" t="s">
        <v>547</v>
      </c>
      <c r="B874" s="124" t="s">
        <v>606</v>
      </c>
      <c r="C874" s="124" t="s">
        <v>1056</v>
      </c>
      <c r="D874" s="124" t="s">
        <v>1055</v>
      </c>
      <c r="E874" s="124">
        <v>18.342857142857138</v>
      </c>
      <c r="F874" s="124">
        <v>13.752380952380951</v>
      </c>
      <c r="G874" s="124">
        <v>78</v>
      </c>
      <c r="H874" s="124">
        <v>78</v>
      </c>
      <c r="I874" s="124">
        <v>59.657142857142858</v>
      </c>
      <c r="J874" s="124">
        <v>91.752380952380946</v>
      </c>
      <c r="K874" s="445">
        <f t="shared" si="27"/>
        <v>-22</v>
      </c>
      <c r="L874" s="445">
        <f t="shared" si="28"/>
        <v>-40.342857142857142</v>
      </c>
      <c r="M874" s="445">
        <f t="shared" si="29"/>
        <v>-8.2476190476190538</v>
      </c>
    </row>
    <row r="875" spans="1:13" x14ac:dyDescent="0.3">
      <c r="A875" s="124" t="s">
        <v>547</v>
      </c>
      <c r="B875" s="146" t="s">
        <v>606</v>
      </c>
      <c r="C875" s="146" t="s">
        <v>1057</v>
      </c>
      <c r="D875" s="146" t="s">
        <v>1055</v>
      </c>
      <c r="E875" s="146">
        <v>14.051540616246498</v>
      </c>
      <c r="F875" s="146">
        <v>12.45266106442577</v>
      </c>
      <c r="G875" s="146">
        <v>87.571428571428569</v>
      </c>
      <c r="H875" s="146">
        <v>87.571428571428569</v>
      </c>
      <c r="I875" s="146">
        <v>73.519887955182071</v>
      </c>
      <c r="J875" s="146">
        <v>100.02408963585434</v>
      </c>
      <c r="K875" s="445">
        <f t="shared" si="27"/>
        <v>-12.428571428571431</v>
      </c>
      <c r="L875" s="445">
        <f t="shared" si="28"/>
        <v>-26.480112044817929</v>
      </c>
      <c r="M875" s="445">
        <f t="shared" si="29"/>
        <v>2.4089635854338098E-2</v>
      </c>
    </row>
    <row r="876" spans="1:13" x14ac:dyDescent="0.3">
      <c r="A876" s="124" t="s">
        <v>547</v>
      </c>
      <c r="B876" s="146" t="s">
        <v>610</v>
      </c>
      <c r="C876" s="124" t="s">
        <v>1052</v>
      </c>
      <c r="D876" s="124" t="s">
        <v>1053</v>
      </c>
      <c r="E876" s="124">
        <v>9.7051282051282044</v>
      </c>
      <c r="F876" s="124">
        <v>15.893162393162394</v>
      </c>
      <c r="G876" s="124">
        <v>23.5</v>
      </c>
      <c r="H876" s="124">
        <v>23.5</v>
      </c>
      <c r="I876" s="124">
        <v>13.794871794871796</v>
      </c>
      <c r="J876" s="124">
        <v>39.393162393162392</v>
      </c>
      <c r="K876" s="445">
        <f t="shared" si="27"/>
        <v>-76.5</v>
      </c>
      <c r="L876" s="445">
        <f t="shared" si="28"/>
        <v>-86.205128205128204</v>
      </c>
      <c r="M876" s="445">
        <f t="shared" si="29"/>
        <v>-60.606837606837608</v>
      </c>
    </row>
    <row r="877" spans="1:13" x14ac:dyDescent="0.3">
      <c r="A877" s="124" t="s">
        <v>547</v>
      </c>
      <c r="B877" s="124" t="s">
        <v>610</v>
      </c>
      <c r="C877" s="124" t="s">
        <v>1056</v>
      </c>
      <c r="D877" s="124" t="s">
        <v>1053</v>
      </c>
      <c r="E877" s="124">
        <v>16.578425229741018</v>
      </c>
      <c r="F877" s="124">
        <v>17.091583124477861</v>
      </c>
      <c r="G877" s="124">
        <v>82.25</v>
      </c>
      <c r="H877" s="124">
        <v>82.25</v>
      </c>
      <c r="I877" s="124">
        <v>65.671574770258985</v>
      </c>
      <c r="J877" s="124">
        <v>99.341583124477864</v>
      </c>
      <c r="K877" s="445">
        <f t="shared" si="27"/>
        <v>-17.75</v>
      </c>
      <c r="L877" s="445">
        <f t="shared" si="28"/>
        <v>-34.328425229741015</v>
      </c>
      <c r="M877" s="445">
        <f t="shared" si="29"/>
        <v>-0.65841687552213557</v>
      </c>
    </row>
    <row r="878" spans="1:13" x14ac:dyDescent="0.3">
      <c r="A878" s="124" t="s">
        <v>547</v>
      </c>
      <c r="B878" s="124" t="s">
        <v>610</v>
      </c>
      <c r="C878" s="146" t="s">
        <v>1057</v>
      </c>
      <c r="D878" s="146" t="s">
        <v>1053</v>
      </c>
      <c r="E878" s="124">
        <v>0</v>
      </c>
      <c r="F878" s="124">
        <v>0</v>
      </c>
      <c r="G878" s="124">
        <v>100</v>
      </c>
      <c r="H878" s="124">
        <v>100</v>
      </c>
      <c r="I878" s="124">
        <v>100</v>
      </c>
      <c r="J878" s="124">
        <v>100</v>
      </c>
      <c r="K878" s="445">
        <f t="shared" si="27"/>
        <v>0</v>
      </c>
      <c r="L878" s="445">
        <f t="shared" si="28"/>
        <v>0</v>
      </c>
      <c r="M878" s="445">
        <f t="shared" si="29"/>
        <v>0</v>
      </c>
    </row>
    <row r="879" spans="1:13" x14ac:dyDescent="0.3">
      <c r="A879" s="124" t="s">
        <v>547</v>
      </c>
      <c r="B879" s="146" t="s">
        <v>610</v>
      </c>
      <c r="C879" s="146" t="s">
        <v>1052</v>
      </c>
      <c r="D879" s="146" t="s">
        <v>1054</v>
      </c>
      <c r="E879" s="146">
        <v>12.427669552669551</v>
      </c>
      <c r="F879" s="146">
        <v>16.994227994227995</v>
      </c>
      <c r="G879" s="146">
        <v>19.75</v>
      </c>
      <c r="H879" s="146">
        <v>19.75</v>
      </c>
      <c r="I879" s="146">
        <v>7.3223304473304491</v>
      </c>
      <c r="J879" s="146">
        <v>36.744227994227998</v>
      </c>
      <c r="K879" s="445">
        <f t="shared" si="27"/>
        <v>-80.25</v>
      </c>
      <c r="L879" s="445">
        <f t="shared" si="28"/>
        <v>-92.677669552669556</v>
      </c>
      <c r="M879" s="445">
        <f t="shared" si="29"/>
        <v>-63.255772005772002</v>
      </c>
    </row>
    <row r="880" spans="1:13" x14ac:dyDescent="0.3">
      <c r="A880" s="124" t="s">
        <v>547</v>
      </c>
      <c r="B880" s="124" t="s">
        <v>610</v>
      </c>
      <c r="C880" s="124" t="s">
        <v>1056</v>
      </c>
      <c r="D880" s="124" t="s">
        <v>1054</v>
      </c>
      <c r="E880" s="124">
        <v>17.596153846153847</v>
      </c>
      <c r="F880" s="124">
        <v>14.496794871794872</v>
      </c>
      <c r="G880" s="124">
        <v>75.25</v>
      </c>
      <c r="H880" s="124">
        <v>75.25</v>
      </c>
      <c r="I880" s="124">
        <v>57.653846153846153</v>
      </c>
      <c r="J880" s="124">
        <v>89.746794871794876</v>
      </c>
      <c r="K880" s="445">
        <f t="shared" si="27"/>
        <v>-24.75</v>
      </c>
      <c r="L880" s="445">
        <f t="shared" si="28"/>
        <v>-42.346153846153847</v>
      </c>
      <c r="M880" s="445">
        <f t="shared" si="29"/>
        <v>-10.253205128205124</v>
      </c>
    </row>
    <row r="881" spans="1:13" x14ac:dyDescent="0.3">
      <c r="A881" s="124" t="s">
        <v>547</v>
      </c>
      <c r="B881" s="124" t="s">
        <v>610</v>
      </c>
      <c r="C881" s="124" t="s">
        <v>1057</v>
      </c>
      <c r="D881" s="124" t="s">
        <v>1054</v>
      </c>
      <c r="E881" s="124">
        <v>5.037581699346406</v>
      </c>
      <c r="F881" s="124">
        <v>2.7222222222222223</v>
      </c>
      <c r="G881" s="124">
        <v>97.75</v>
      </c>
      <c r="H881" s="124">
        <v>97.75</v>
      </c>
      <c r="I881" s="124">
        <v>92.712418300653596</v>
      </c>
      <c r="J881" s="124">
        <v>100.47222222222223</v>
      </c>
      <c r="K881" s="445">
        <f t="shared" si="27"/>
        <v>-2.25</v>
      </c>
      <c r="L881" s="445">
        <f t="shared" si="28"/>
        <v>-7.2875816993464042</v>
      </c>
      <c r="M881" s="445">
        <f t="shared" si="29"/>
        <v>0.47222222222222854</v>
      </c>
    </row>
    <row r="882" spans="1:13" x14ac:dyDescent="0.3">
      <c r="A882" s="124" t="s">
        <v>547</v>
      </c>
      <c r="B882" s="124" t="s">
        <v>610</v>
      </c>
      <c r="C882" s="124" t="s">
        <v>1052</v>
      </c>
      <c r="D882" s="124" t="s">
        <v>1055</v>
      </c>
      <c r="E882" s="124">
        <v>27.597222222222221</v>
      </c>
      <c r="F882" s="124">
        <v>18.037698412698411</v>
      </c>
      <c r="G882" s="124">
        <v>37.5</v>
      </c>
      <c r="H882" s="124">
        <v>37.5</v>
      </c>
      <c r="I882" s="124">
        <v>9.9027777777777786</v>
      </c>
      <c r="J882" s="124">
        <v>55.537698412698411</v>
      </c>
      <c r="K882" s="445">
        <f t="shared" si="27"/>
        <v>-62.5</v>
      </c>
      <c r="L882" s="445">
        <f t="shared" si="28"/>
        <v>-90.097222222222229</v>
      </c>
      <c r="M882" s="445">
        <f t="shared" si="29"/>
        <v>-44.462301587301589</v>
      </c>
    </row>
    <row r="883" spans="1:13" x14ac:dyDescent="0.3">
      <c r="A883" s="124" t="s">
        <v>547</v>
      </c>
      <c r="B883" s="124" t="s">
        <v>610</v>
      </c>
      <c r="C883" s="124" t="s">
        <v>1056</v>
      </c>
      <c r="D883" s="124" t="s">
        <v>1055</v>
      </c>
      <c r="E883" s="124">
        <v>19.688194974959679</v>
      </c>
      <c r="F883" s="124">
        <v>25.123864697394108</v>
      </c>
      <c r="G883" s="124">
        <v>67.5</v>
      </c>
      <c r="H883" s="124">
        <v>67.5</v>
      </c>
      <c r="I883" s="124">
        <v>47.811805025040321</v>
      </c>
      <c r="J883" s="124">
        <v>92.623864697394112</v>
      </c>
      <c r="K883" s="445">
        <f t="shared" si="27"/>
        <v>-32.5</v>
      </c>
      <c r="L883" s="445">
        <f t="shared" si="28"/>
        <v>-52.188194974959679</v>
      </c>
      <c r="M883" s="445">
        <f t="shared" si="29"/>
        <v>-7.3761353026058885</v>
      </c>
    </row>
    <row r="884" spans="1:13" x14ac:dyDescent="0.3">
      <c r="A884" s="124" t="s">
        <v>547</v>
      </c>
      <c r="B884" s="146" t="s">
        <v>610</v>
      </c>
      <c r="C884" s="146" t="s">
        <v>1057</v>
      </c>
      <c r="D884" s="146" t="s">
        <v>1055</v>
      </c>
      <c r="E884" s="146">
        <v>13.808356676003733</v>
      </c>
      <c r="F884" s="146">
        <v>16.516690009337069</v>
      </c>
      <c r="G884" s="146">
        <v>78.125</v>
      </c>
      <c r="H884" s="146">
        <v>78.125</v>
      </c>
      <c r="I884" s="146">
        <v>64.31664332399626</v>
      </c>
      <c r="J884" s="146">
        <v>94.641690009337069</v>
      </c>
      <c r="K884" s="445">
        <f t="shared" si="27"/>
        <v>-21.875</v>
      </c>
      <c r="L884" s="445">
        <f t="shared" si="28"/>
        <v>-35.68335667600374</v>
      </c>
      <c r="M884" s="445">
        <f t="shared" si="29"/>
        <v>-5.3583099906629315</v>
      </c>
    </row>
    <row r="885" spans="1:13" x14ac:dyDescent="0.3">
      <c r="A885" s="124" t="s">
        <v>547</v>
      </c>
      <c r="B885" s="146" t="s">
        <v>613</v>
      </c>
      <c r="C885" s="124" t="s">
        <v>1052</v>
      </c>
      <c r="D885" s="124" t="s">
        <v>1053</v>
      </c>
      <c r="E885" s="124">
        <v>9.7051282051282044</v>
      </c>
      <c r="F885" s="124">
        <v>15.893162393162394</v>
      </c>
      <c r="G885" s="124">
        <v>23.5</v>
      </c>
      <c r="H885" s="124">
        <v>23.5</v>
      </c>
      <c r="I885" s="124">
        <v>13.794871794871796</v>
      </c>
      <c r="J885" s="124">
        <v>39.393162393162392</v>
      </c>
      <c r="K885" s="445">
        <f t="shared" si="27"/>
        <v>-76.5</v>
      </c>
      <c r="L885" s="445">
        <f t="shared" si="28"/>
        <v>-86.205128205128204</v>
      </c>
      <c r="M885" s="445">
        <f t="shared" si="29"/>
        <v>-60.606837606837608</v>
      </c>
    </row>
    <row r="886" spans="1:13" x14ac:dyDescent="0.3">
      <c r="A886" s="124" t="s">
        <v>547</v>
      </c>
      <c r="B886" s="124" t="s">
        <v>613</v>
      </c>
      <c r="C886" s="124" t="s">
        <v>1056</v>
      </c>
      <c r="D886" s="124" t="s">
        <v>1053</v>
      </c>
      <c r="E886" s="124">
        <v>16.578425229741018</v>
      </c>
      <c r="F886" s="124">
        <v>17.091583124477861</v>
      </c>
      <c r="G886" s="124">
        <v>82.25</v>
      </c>
      <c r="H886" s="124">
        <v>82.25</v>
      </c>
      <c r="I886" s="124">
        <v>65.671574770258985</v>
      </c>
      <c r="J886" s="124">
        <v>99.341583124477864</v>
      </c>
      <c r="K886" s="445">
        <f t="shared" si="27"/>
        <v>-17.75</v>
      </c>
      <c r="L886" s="445">
        <f t="shared" si="28"/>
        <v>-34.328425229741015</v>
      </c>
      <c r="M886" s="445">
        <f t="shared" si="29"/>
        <v>-0.65841687552213557</v>
      </c>
    </row>
    <row r="887" spans="1:13" x14ac:dyDescent="0.3">
      <c r="A887" s="124" t="s">
        <v>547</v>
      </c>
      <c r="B887" s="124" t="s">
        <v>613</v>
      </c>
      <c r="C887" s="146" t="s">
        <v>1057</v>
      </c>
      <c r="D887" s="146" t="s">
        <v>1053</v>
      </c>
      <c r="E887" s="124">
        <v>0</v>
      </c>
      <c r="F887" s="124">
        <v>0</v>
      </c>
      <c r="G887" s="124">
        <v>100</v>
      </c>
      <c r="H887" s="124">
        <v>100</v>
      </c>
      <c r="I887" s="124">
        <v>100</v>
      </c>
      <c r="J887" s="124">
        <v>100</v>
      </c>
      <c r="K887" s="445">
        <f t="shared" si="27"/>
        <v>0</v>
      </c>
      <c r="L887" s="445">
        <f t="shared" si="28"/>
        <v>0</v>
      </c>
      <c r="M887" s="445">
        <f t="shared" si="29"/>
        <v>0</v>
      </c>
    </row>
    <row r="888" spans="1:13" x14ac:dyDescent="0.3">
      <c r="A888" s="124" t="s">
        <v>547</v>
      </c>
      <c r="B888" s="146" t="s">
        <v>613</v>
      </c>
      <c r="C888" s="124" t="s">
        <v>1052</v>
      </c>
      <c r="D888" s="124" t="s">
        <v>1054</v>
      </c>
      <c r="E888" s="124">
        <v>12.427669552669551</v>
      </c>
      <c r="F888" s="124">
        <v>16.994227994227995</v>
      </c>
      <c r="G888" s="124">
        <v>19.75</v>
      </c>
      <c r="H888" s="124">
        <v>19.75</v>
      </c>
      <c r="I888" s="124">
        <v>7.3223304473304491</v>
      </c>
      <c r="J888" s="124">
        <v>36.744227994227998</v>
      </c>
      <c r="K888" s="445">
        <f t="shared" si="27"/>
        <v>-80.25</v>
      </c>
      <c r="L888" s="445">
        <f t="shared" si="28"/>
        <v>-92.677669552669556</v>
      </c>
      <c r="M888" s="445">
        <f t="shared" si="29"/>
        <v>-63.255772005772002</v>
      </c>
    </row>
    <row r="889" spans="1:13" x14ac:dyDescent="0.3">
      <c r="A889" s="124" t="s">
        <v>547</v>
      </c>
      <c r="B889" s="124" t="s">
        <v>613</v>
      </c>
      <c r="C889" s="124" t="s">
        <v>1056</v>
      </c>
      <c r="D889" s="124" t="s">
        <v>1054</v>
      </c>
      <c r="E889" s="124">
        <v>17.596153846153847</v>
      </c>
      <c r="F889" s="124">
        <v>14.496794871794872</v>
      </c>
      <c r="G889" s="124">
        <v>75.25</v>
      </c>
      <c r="H889" s="124">
        <v>75.25</v>
      </c>
      <c r="I889" s="124">
        <v>57.653846153846153</v>
      </c>
      <c r="J889" s="124">
        <v>89.746794871794876</v>
      </c>
      <c r="K889" s="445">
        <f t="shared" si="27"/>
        <v>-24.75</v>
      </c>
      <c r="L889" s="445">
        <f t="shared" si="28"/>
        <v>-42.346153846153847</v>
      </c>
      <c r="M889" s="445">
        <f t="shared" si="29"/>
        <v>-10.253205128205124</v>
      </c>
    </row>
    <row r="890" spans="1:13" x14ac:dyDescent="0.3">
      <c r="A890" s="124" t="s">
        <v>547</v>
      </c>
      <c r="B890" s="124" t="s">
        <v>613</v>
      </c>
      <c r="C890" s="124" t="s">
        <v>1057</v>
      </c>
      <c r="D890" s="124" t="s">
        <v>1054</v>
      </c>
      <c r="E890" s="124">
        <v>5.037581699346406</v>
      </c>
      <c r="F890" s="124">
        <v>2.7222222222222223</v>
      </c>
      <c r="G890" s="124">
        <v>97.75</v>
      </c>
      <c r="H890" s="124">
        <v>97.75</v>
      </c>
      <c r="I890" s="124">
        <v>92.712418300653596</v>
      </c>
      <c r="J890" s="124">
        <v>100.47222222222223</v>
      </c>
      <c r="K890" s="445">
        <f t="shared" si="27"/>
        <v>-2.25</v>
      </c>
      <c r="L890" s="445">
        <f t="shared" si="28"/>
        <v>-7.2875816993464042</v>
      </c>
      <c r="M890" s="445">
        <f t="shared" si="29"/>
        <v>0.47222222222222854</v>
      </c>
    </row>
    <row r="891" spans="1:13" x14ac:dyDescent="0.3">
      <c r="A891" s="124" t="s">
        <v>547</v>
      </c>
      <c r="B891" s="124" t="s">
        <v>613</v>
      </c>
      <c r="C891" s="124" t="s">
        <v>1052</v>
      </c>
      <c r="D891" s="124" t="s">
        <v>1055</v>
      </c>
      <c r="E891" s="124">
        <v>27.597222222222221</v>
      </c>
      <c r="F891" s="124">
        <v>18.037698412698411</v>
      </c>
      <c r="G891" s="124">
        <v>37.5</v>
      </c>
      <c r="H891" s="124">
        <v>37.5</v>
      </c>
      <c r="I891" s="124">
        <v>9.9027777777777786</v>
      </c>
      <c r="J891" s="124">
        <v>55.537698412698411</v>
      </c>
      <c r="K891" s="445">
        <f t="shared" si="27"/>
        <v>-62.5</v>
      </c>
      <c r="L891" s="445">
        <f t="shared" si="28"/>
        <v>-90.097222222222229</v>
      </c>
      <c r="M891" s="445">
        <f t="shared" si="29"/>
        <v>-44.462301587301589</v>
      </c>
    </row>
    <row r="892" spans="1:13" x14ac:dyDescent="0.3">
      <c r="A892" s="124" t="s">
        <v>547</v>
      </c>
      <c r="B892" s="124" t="s">
        <v>613</v>
      </c>
      <c r="C892" s="124" t="s">
        <v>1056</v>
      </c>
      <c r="D892" s="124" t="s">
        <v>1055</v>
      </c>
      <c r="E892" s="124">
        <v>19.688194974959679</v>
      </c>
      <c r="F892" s="124">
        <v>25.123864697394108</v>
      </c>
      <c r="G892" s="124">
        <v>67.5</v>
      </c>
      <c r="H892" s="124">
        <v>67.5</v>
      </c>
      <c r="I892" s="124">
        <v>47.811805025040321</v>
      </c>
      <c r="J892" s="124">
        <v>92.623864697394112</v>
      </c>
      <c r="K892" s="445">
        <f t="shared" si="27"/>
        <v>-32.5</v>
      </c>
      <c r="L892" s="445">
        <f t="shared" si="28"/>
        <v>-52.188194974959679</v>
      </c>
      <c r="M892" s="445">
        <f t="shared" si="29"/>
        <v>-7.3761353026058885</v>
      </c>
    </row>
    <row r="893" spans="1:13" x14ac:dyDescent="0.3">
      <c r="A893" s="124" t="s">
        <v>547</v>
      </c>
      <c r="B893" s="146" t="s">
        <v>613</v>
      </c>
      <c r="C893" s="146" t="s">
        <v>1057</v>
      </c>
      <c r="D893" s="146" t="s">
        <v>1055</v>
      </c>
      <c r="E893" s="146">
        <v>13.808356676003733</v>
      </c>
      <c r="F893" s="146">
        <v>16.516690009337069</v>
      </c>
      <c r="G893" s="146">
        <v>78.125</v>
      </c>
      <c r="H893" s="146">
        <v>78.125</v>
      </c>
      <c r="I893" s="146">
        <v>64.31664332399626</v>
      </c>
      <c r="J893" s="146">
        <v>94.641690009337069</v>
      </c>
      <c r="K893" s="445">
        <f t="shared" si="27"/>
        <v>-21.875</v>
      </c>
      <c r="L893" s="445">
        <f t="shared" si="28"/>
        <v>-35.68335667600374</v>
      </c>
      <c r="M893" s="445">
        <f t="shared" si="29"/>
        <v>-5.3583099906629315</v>
      </c>
    </row>
    <row r="894" spans="1:13" x14ac:dyDescent="0.3">
      <c r="A894" s="124" t="s">
        <v>547</v>
      </c>
      <c r="B894" s="146" t="s">
        <v>616</v>
      </c>
      <c r="C894" s="124" t="s">
        <v>1052</v>
      </c>
      <c r="D894" s="146" t="s">
        <v>1053</v>
      </c>
      <c r="E894" s="124">
        <v>17.88795518207283</v>
      </c>
      <c r="F894" s="124">
        <v>27.486694677871146</v>
      </c>
      <c r="G894" s="124">
        <v>29.875</v>
      </c>
      <c r="H894" s="124">
        <v>29.875</v>
      </c>
      <c r="I894" s="124">
        <v>11.98704481792717</v>
      </c>
      <c r="J894" s="124">
        <v>57.361694677871142</v>
      </c>
      <c r="K894" s="445">
        <f t="shared" si="27"/>
        <v>-70.125</v>
      </c>
      <c r="L894" s="445">
        <f t="shared" si="28"/>
        <v>-88.01295518207283</v>
      </c>
      <c r="M894" s="445">
        <f t="shared" si="29"/>
        <v>-42.638305322128858</v>
      </c>
    </row>
    <row r="895" spans="1:13" x14ac:dyDescent="0.3">
      <c r="A895" s="124" t="s">
        <v>547</v>
      </c>
      <c r="B895" s="124" t="s">
        <v>616</v>
      </c>
      <c r="C895" s="124" t="s">
        <v>1056</v>
      </c>
      <c r="D895" s="124" t="s">
        <v>1053</v>
      </c>
      <c r="E895" s="124">
        <v>16.513772175536882</v>
      </c>
      <c r="F895" s="124">
        <v>17.525676937441641</v>
      </c>
      <c r="G895" s="124">
        <v>69.375</v>
      </c>
      <c r="H895" s="124">
        <v>69.375</v>
      </c>
      <c r="I895" s="124">
        <v>52.861227824463114</v>
      </c>
      <c r="J895" s="124">
        <v>86.900676937441645</v>
      </c>
      <c r="K895" s="445">
        <f t="shared" ref="K895:K958" si="30">0-(100-H895)</f>
        <v>-30.625</v>
      </c>
      <c r="L895" s="445">
        <f t="shared" ref="L895:L958" si="31">0-(100-I895)</f>
        <v>-47.138772175536886</v>
      </c>
      <c r="M895" s="445">
        <f t="shared" ref="M895:M958" si="32">0-(100-J895)</f>
        <v>-13.099323062558355</v>
      </c>
    </row>
    <row r="896" spans="1:13" x14ac:dyDescent="0.3">
      <c r="A896" s="124" t="s">
        <v>547</v>
      </c>
      <c r="B896" s="124" t="s">
        <v>616</v>
      </c>
      <c r="C896" s="146" t="s">
        <v>1057</v>
      </c>
      <c r="D896" s="146" t="s">
        <v>1053</v>
      </c>
      <c r="E896" s="124">
        <v>0</v>
      </c>
      <c r="F896" s="124">
        <v>0</v>
      </c>
      <c r="G896" s="124">
        <v>100</v>
      </c>
      <c r="H896" s="124">
        <v>100</v>
      </c>
      <c r="I896" s="124">
        <v>100</v>
      </c>
      <c r="J896" s="124">
        <v>100</v>
      </c>
      <c r="K896" s="445">
        <f t="shared" si="30"/>
        <v>0</v>
      </c>
      <c r="L896" s="445">
        <f t="shared" si="31"/>
        <v>0</v>
      </c>
      <c r="M896" s="445">
        <f t="shared" si="32"/>
        <v>0</v>
      </c>
    </row>
    <row r="897" spans="1:13" x14ac:dyDescent="0.3">
      <c r="A897" s="124" t="s">
        <v>547</v>
      </c>
      <c r="B897" s="146" t="s">
        <v>616</v>
      </c>
      <c r="C897" s="124" t="s">
        <v>1052</v>
      </c>
      <c r="D897" s="124" t="s">
        <v>1054</v>
      </c>
      <c r="E897" s="124">
        <v>17.38095238095238</v>
      </c>
      <c r="F897" s="124">
        <v>24.107142857142854</v>
      </c>
      <c r="G897" s="124">
        <v>21.5</v>
      </c>
      <c r="H897" s="124">
        <v>21.5</v>
      </c>
      <c r="I897" s="124">
        <v>4.1190476190476204</v>
      </c>
      <c r="J897" s="124">
        <v>45.607142857142854</v>
      </c>
      <c r="K897" s="445">
        <f t="shared" si="30"/>
        <v>-78.5</v>
      </c>
      <c r="L897" s="445">
        <f t="shared" si="31"/>
        <v>-95.88095238095238</v>
      </c>
      <c r="M897" s="445">
        <f t="shared" si="32"/>
        <v>-54.392857142857146</v>
      </c>
    </row>
    <row r="898" spans="1:13" x14ac:dyDescent="0.3">
      <c r="A898" s="124" t="s">
        <v>547</v>
      </c>
      <c r="B898" s="146" t="s">
        <v>616</v>
      </c>
      <c r="C898" s="124" t="s">
        <v>1056</v>
      </c>
      <c r="D898" s="124" t="s">
        <v>1054</v>
      </c>
      <c r="E898" s="124">
        <v>17.902661064425772</v>
      </c>
      <c r="F898" s="124">
        <v>20.343137254901961</v>
      </c>
      <c r="G898" s="124">
        <v>60.625</v>
      </c>
      <c r="H898" s="124">
        <v>60.625</v>
      </c>
      <c r="I898" s="124">
        <v>42.722338935574228</v>
      </c>
      <c r="J898" s="124">
        <v>80.968137254901961</v>
      </c>
      <c r="K898" s="445">
        <f t="shared" si="30"/>
        <v>-39.375</v>
      </c>
      <c r="L898" s="445">
        <f t="shared" si="31"/>
        <v>-57.277661064425772</v>
      </c>
      <c r="M898" s="445">
        <f t="shared" si="32"/>
        <v>-19.031862745098039</v>
      </c>
    </row>
    <row r="899" spans="1:13" x14ac:dyDescent="0.3">
      <c r="A899" s="124" t="s">
        <v>547</v>
      </c>
      <c r="B899" s="124" t="s">
        <v>616</v>
      </c>
      <c r="C899" s="124" t="s">
        <v>1057</v>
      </c>
      <c r="D899" s="124" t="s">
        <v>1054</v>
      </c>
      <c r="E899" s="124">
        <v>6.666666666666667</v>
      </c>
      <c r="F899" s="124">
        <v>4.9305555555555554</v>
      </c>
      <c r="G899" s="124">
        <v>98.125</v>
      </c>
      <c r="H899" s="124">
        <v>98.125</v>
      </c>
      <c r="I899" s="124">
        <v>91.458333333333329</v>
      </c>
      <c r="J899" s="124">
        <v>103.05555555555556</v>
      </c>
      <c r="K899" s="445">
        <f t="shared" si="30"/>
        <v>-1.875</v>
      </c>
      <c r="L899" s="445">
        <f t="shared" si="31"/>
        <v>-8.5416666666666714</v>
      </c>
      <c r="M899" s="445">
        <f t="shared" si="32"/>
        <v>3.0555555555555571</v>
      </c>
    </row>
    <row r="900" spans="1:13" x14ac:dyDescent="0.3">
      <c r="A900" s="124" t="s">
        <v>547</v>
      </c>
      <c r="B900" s="124" t="s">
        <v>616</v>
      </c>
      <c r="C900" s="124" t="s">
        <v>1052</v>
      </c>
      <c r="D900" s="124" t="s">
        <v>1055</v>
      </c>
      <c r="E900" s="124">
        <v>27.124999999999996</v>
      </c>
      <c r="F900" s="124">
        <v>20.517857142857142</v>
      </c>
      <c r="G900" s="124">
        <v>49.375</v>
      </c>
      <c r="H900" s="124">
        <v>49.375</v>
      </c>
      <c r="I900" s="124">
        <v>22.250000000000004</v>
      </c>
      <c r="J900" s="124">
        <v>69.892857142857139</v>
      </c>
      <c r="K900" s="445">
        <f t="shared" si="30"/>
        <v>-50.625</v>
      </c>
      <c r="L900" s="445">
        <f t="shared" si="31"/>
        <v>-77.75</v>
      </c>
      <c r="M900" s="445">
        <f t="shared" si="32"/>
        <v>-30.107142857142861</v>
      </c>
    </row>
    <row r="901" spans="1:13" x14ac:dyDescent="0.3">
      <c r="A901" s="124" t="s">
        <v>547</v>
      </c>
      <c r="B901" s="124" t="s">
        <v>616</v>
      </c>
      <c r="C901" s="124" t="s">
        <v>1056</v>
      </c>
      <c r="D901" s="124" t="s">
        <v>1055</v>
      </c>
      <c r="E901" s="124">
        <v>18.514610389610386</v>
      </c>
      <c r="F901" s="124">
        <v>17.711038961038959</v>
      </c>
      <c r="G901" s="124">
        <v>78.125</v>
      </c>
      <c r="H901" s="124">
        <v>78.125</v>
      </c>
      <c r="I901" s="124">
        <v>59.610389610389618</v>
      </c>
      <c r="J901" s="124">
        <v>95.836038961038952</v>
      </c>
      <c r="K901" s="445">
        <f t="shared" si="30"/>
        <v>-21.875</v>
      </c>
      <c r="L901" s="445">
        <f t="shared" si="31"/>
        <v>-40.389610389610382</v>
      </c>
      <c r="M901" s="445">
        <f t="shared" si="32"/>
        <v>-4.1639610389610482</v>
      </c>
    </row>
    <row r="902" spans="1:13" x14ac:dyDescent="0.3">
      <c r="A902" s="124" t="s">
        <v>547</v>
      </c>
      <c r="B902" s="146" t="s">
        <v>616</v>
      </c>
      <c r="C902" s="146" t="s">
        <v>1057</v>
      </c>
      <c r="D902" s="124" t="s">
        <v>1055</v>
      </c>
      <c r="E902" s="146">
        <v>15.594070961718019</v>
      </c>
      <c r="F902" s="124">
        <v>8.4908963585434165</v>
      </c>
      <c r="G902" s="124">
        <v>96.25</v>
      </c>
      <c r="H902" s="124">
        <v>96.25</v>
      </c>
      <c r="I902" s="124">
        <v>80.655929038281982</v>
      </c>
      <c r="J902" s="124">
        <v>104.74089635854341</v>
      </c>
      <c r="K902" s="445">
        <f t="shared" si="30"/>
        <v>-3.75</v>
      </c>
      <c r="L902" s="445">
        <f t="shared" si="31"/>
        <v>-19.344070961718018</v>
      </c>
      <c r="M902" s="445">
        <f t="shared" si="32"/>
        <v>4.7408963585434094</v>
      </c>
    </row>
    <row r="903" spans="1:13" x14ac:dyDescent="0.3">
      <c r="A903" s="124" t="s">
        <v>547</v>
      </c>
      <c r="B903" s="146" t="s">
        <v>619</v>
      </c>
      <c r="C903" s="124" t="s">
        <v>1052</v>
      </c>
      <c r="D903" s="146" t="s">
        <v>1053</v>
      </c>
      <c r="E903" s="124">
        <v>7.0770975056689327</v>
      </c>
      <c r="F903" s="124">
        <v>15.394557823129251</v>
      </c>
      <c r="G903" s="124">
        <v>27.714285714285715</v>
      </c>
      <c r="H903" s="124">
        <v>27.714285714285715</v>
      </c>
      <c r="I903" s="124">
        <v>20.637188208616784</v>
      </c>
      <c r="J903" s="124">
        <v>43.10884353741497</v>
      </c>
      <c r="K903" s="445">
        <f t="shared" si="30"/>
        <v>-72.285714285714278</v>
      </c>
      <c r="L903" s="445">
        <f t="shared" si="31"/>
        <v>-79.362811791383223</v>
      </c>
      <c r="M903" s="445">
        <f t="shared" si="32"/>
        <v>-56.89115646258503</v>
      </c>
    </row>
    <row r="904" spans="1:13" x14ac:dyDescent="0.3">
      <c r="A904" s="124" t="s">
        <v>547</v>
      </c>
      <c r="B904" s="124" t="s">
        <v>619</v>
      </c>
      <c r="C904" s="124" t="s">
        <v>1056</v>
      </c>
      <c r="D904" s="124" t="s">
        <v>1053</v>
      </c>
      <c r="E904" s="124">
        <v>12.780045351473925</v>
      </c>
      <c r="F904" s="124">
        <v>13.396825396825395</v>
      </c>
      <c r="G904" s="124">
        <v>73.714285714285708</v>
      </c>
      <c r="H904" s="124">
        <v>73.714285714285708</v>
      </c>
      <c r="I904" s="124">
        <v>60.934240362811785</v>
      </c>
      <c r="J904" s="124">
        <v>87.1111111111111</v>
      </c>
      <c r="K904" s="445">
        <f t="shared" si="30"/>
        <v>-26.285714285714292</v>
      </c>
      <c r="L904" s="445">
        <f t="shared" si="31"/>
        <v>-39.065759637188215</v>
      </c>
      <c r="M904" s="445">
        <f t="shared" si="32"/>
        <v>-12.8888888888889</v>
      </c>
    </row>
    <row r="905" spans="1:13" x14ac:dyDescent="0.3">
      <c r="A905" s="124" t="s">
        <v>547</v>
      </c>
      <c r="B905" s="124" t="s">
        <v>619</v>
      </c>
      <c r="C905" s="146" t="s">
        <v>1057</v>
      </c>
      <c r="D905" s="146" t="s">
        <v>1053</v>
      </c>
      <c r="E905" s="124">
        <v>0</v>
      </c>
      <c r="F905" s="124">
        <v>0</v>
      </c>
      <c r="G905" s="124">
        <v>100</v>
      </c>
      <c r="H905" s="124">
        <v>100</v>
      </c>
      <c r="I905" s="124">
        <v>100</v>
      </c>
      <c r="J905" s="124">
        <v>100</v>
      </c>
      <c r="K905" s="445">
        <f t="shared" si="30"/>
        <v>0</v>
      </c>
      <c r="L905" s="445">
        <f t="shared" si="31"/>
        <v>0</v>
      </c>
      <c r="M905" s="445">
        <f t="shared" si="32"/>
        <v>0</v>
      </c>
    </row>
    <row r="906" spans="1:13" x14ac:dyDescent="0.3">
      <c r="A906" s="124" t="s">
        <v>547</v>
      </c>
      <c r="B906" s="146" t="s">
        <v>619</v>
      </c>
      <c r="C906" s="124" t="s">
        <v>1052</v>
      </c>
      <c r="D906" s="124" t="s">
        <v>1054</v>
      </c>
      <c r="E906" s="124">
        <v>11.795918367346939</v>
      </c>
      <c r="F906" s="124">
        <v>10.625850340136054</v>
      </c>
      <c r="G906" s="124">
        <v>26.142857142857142</v>
      </c>
      <c r="H906" s="124">
        <v>26.142857142857142</v>
      </c>
      <c r="I906" s="124">
        <v>14.346938775510203</v>
      </c>
      <c r="J906" s="124">
        <v>36.768707482993193</v>
      </c>
      <c r="K906" s="445">
        <f t="shared" si="30"/>
        <v>-73.857142857142861</v>
      </c>
      <c r="L906" s="445">
        <f t="shared" si="31"/>
        <v>-85.65306122448979</v>
      </c>
      <c r="M906" s="445">
        <f t="shared" si="32"/>
        <v>-63.231292517006807</v>
      </c>
    </row>
    <row r="907" spans="1:13" x14ac:dyDescent="0.3">
      <c r="A907" s="124" t="s">
        <v>547</v>
      </c>
      <c r="B907" s="146" t="s">
        <v>619</v>
      </c>
      <c r="C907" s="124" t="s">
        <v>1056</v>
      </c>
      <c r="D907" s="124" t="s">
        <v>1054</v>
      </c>
      <c r="E907" s="124">
        <v>16.342403628117914</v>
      </c>
      <c r="F907" s="124">
        <v>20.156462585034014</v>
      </c>
      <c r="G907" s="124">
        <v>58.714285714285715</v>
      </c>
      <c r="H907" s="124">
        <v>58.714285714285715</v>
      </c>
      <c r="I907" s="124">
        <v>42.371882086167801</v>
      </c>
      <c r="J907" s="124">
        <v>78.870748299319729</v>
      </c>
      <c r="K907" s="445">
        <f t="shared" si="30"/>
        <v>-41.285714285714285</v>
      </c>
      <c r="L907" s="445">
        <f t="shared" si="31"/>
        <v>-57.628117913832199</v>
      </c>
      <c r="M907" s="445">
        <f t="shared" si="32"/>
        <v>-21.129251700680271</v>
      </c>
    </row>
    <row r="908" spans="1:13" x14ac:dyDescent="0.3">
      <c r="A908" s="124" t="s">
        <v>547</v>
      </c>
      <c r="B908" s="124" t="s">
        <v>619</v>
      </c>
      <c r="C908" s="124" t="s">
        <v>1057</v>
      </c>
      <c r="D908" s="124" t="s">
        <v>1054</v>
      </c>
      <c r="E908" s="124">
        <v>6.2539682539682531</v>
      </c>
      <c r="F908" s="124">
        <v>4.2222222222222223</v>
      </c>
      <c r="G908" s="124">
        <v>98.285714285714292</v>
      </c>
      <c r="H908" s="124">
        <v>98.285714285714292</v>
      </c>
      <c r="I908" s="124">
        <v>92.031746031746039</v>
      </c>
      <c r="J908" s="124">
        <v>102.50793650793652</v>
      </c>
      <c r="K908" s="445">
        <f t="shared" si="30"/>
        <v>-1.7142857142857082</v>
      </c>
      <c r="L908" s="445">
        <f t="shared" si="31"/>
        <v>-7.9682539682539613</v>
      </c>
      <c r="M908" s="445">
        <f t="shared" si="32"/>
        <v>2.5079365079365203</v>
      </c>
    </row>
    <row r="909" spans="1:13" x14ac:dyDescent="0.3">
      <c r="A909" s="124" t="s">
        <v>547</v>
      </c>
      <c r="B909" s="124" t="s">
        <v>619</v>
      </c>
      <c r="C909" s="124" t="s">
        <v>1052</v>
      </c>
      <c r="D909" s="124" t="s">
        <v>1055</v>
      </c>
      <c r="E909" s="124">
        <v>22.687074829931969</v>
      </c>
      <c r="F909" s="124">
        <v>22.89115646258503</v>
      </c>
      <c r="G909" s="124">
        <v>39.285714285714285</v>
      </c>
      <c r="H909" s="124">
        <v>39.285714285714285</v>
      </c>
      <c r="I909" s="124">
        <v>16.598639455782315</v>
      </c>
      <c r="J909" s="124">
        <v>62.176870748299315</v>
      </c>
      <c r="K909" s="445">
        <f t="shared" si="30"/>
        <v>-60.714285714285715</v>
      </c>
      <c r="L909" s="445">
        <f t="shared" si="31"/>
        <v>-83.401360544217681</v>
      </c>
      <c r="M909" s="445">
        <f t="shared" si="32"/>
        <v>-37.823129251700685</v>
      </c>
    </row>
    <row r="910" spans="1:13" x14ac:dyDescent="0.3">
      <c r="A910" s="124" t="s">
        <v>547</v>
      </c>
      <c r="B910" s="124" t="s">
        <v>619</v>
      </c>
      <c r="C910" s="124" t="s">
        <v>1056</v>
      </c>
      <c r="D910" s="124" t="s">
        <v>1055</v>
      </c>
      <c r="E910" s="124">
        <v>31.972789115646258</v>
      </c>
      <c r="F910" s="124">
        <v>21.326530612244898</v>
      </c>
      <c r="G910" s="124">
        <v>72.857142857142861</v>
      </c>
      <c r="H910" s="124">
        <v>72.857142857142861</v>
      </c>
      <c r="I910" s="124">
        <v>40.884353741496604</v>
      </c>
      <c r="J910" s="124">
        <v>94.183673469387756</v>
      </c>
      <c r="K910" s="445">
        <f t="shared" si="30"/>
        <v>-27.142857142857139</v>
      </c>
      <c r="L910" s="445">
        <f t="shared" si="31"/>
        <v>-59.115646258503396</v>
      </c>
      <c r="M910" s="445">
        <f t="shared" si="32"/>
        <v>-5.816326530612244</v>
      </c>
    </row>
    <row r="911" spans="1:13" x14ac:dyDescent="0.3">
      <c r="A911" s="124" t="s">
        <v>547</v>
      </c>
      <c r="B911" s="146" t="s">
        <v>619</v>
      </c>
      <c r="C911" s="146" t="s">
        <v>1057</v>
      </c>
      <c r="D911" s="124" t="s">
        <v>1055</v>
      </c>
      <c r="E911" s="146">
        <v>20.931972789115644</v>
      </c>
      <c r="F911" s="124">
        <v>10.63265306122449</v>
      </c>
      <c r="G911" s="124">
        <v>90.285714285714292</v>
      </c>
      <c r="H911" s="124">
        <v>90.285714285714292</v>
      </c>
      <c r="I911" s="124">
        <v>69.353741496598644</v>
      </c>
      <c r="J911" s="124">
        <v>100.91836734693878</v>
      </c>
      <c r="K911" s="445">
        <f t="shared" si="30"/>
        <v>-9.7142857142857082</v>
      </c>
      <c r="L911" s="445">
        <f t="shared" si="31"/>
        <v>-30.646258503401356</v>
      </c>
      <c r="M911" s="445">
        <f t="shared" si="32"/>
        <v>0.91836734693877986</v>
      </c>
    </row>
    <row r="912" spans="1:13" x14ac:dyDescent="0.3">
      <c r="A912" s="124" t="s">
        <v>547</v>
      </c>
      <c r="B912" s="124" t="s">
        <v>1077</v>
      </c>
      <c r="C912" s="124" t="s">
        <v>1052</v>
      </c>
      <c r="D912" s="124" t="s">
        <v>1053</v>
      </c>
      <c r="E912" s="124">
        <v>10.430038682139521</v>
      </c>
      <c r="F912" s="124">
        <v>15.486994797919168</v>
      </c>
      <c r="G912" s="124">
        <v>31.142857142857142</v>
      </c>
      <c r="H912" s="124">
        <v>31.142857142857142</v>
      </c>
      <c r="I912" s="124">
        <v>20.712818460717621</v>
      </c>
      <c r="J912" s="124">
        <v>46.629851940776312</v>
      </c>
      <c r="K912" s="445">
        <f t="shared" si="30"/>
        <v>-68.857142857142861</v>
      </c>
      <c r="L912" s="445">
        <f t="shared" si="31"/>
        <v>-79.287181539282386</v>
      </c>
      <c r="M912" s="445">
        <f t="shared" si="32"/>
        <v>-53.370148059223688</v>
      </c>
    </row>
    <row r="913" spans="1:13" x14ac:dyDescent="0.3">
      <c r="A913" s="124" t="s">
        <v>547</v>
      </c>
      <c r="B913" s="124" t="s">
        <v>1077</v>
      </c>
      <c r="C913" s="124" t="s">
        <v>1056</v>
      </c>
      <c r="D913" s="124" t="s">
        <v>1053</v>
      </c>
      <c r="E913" s="124">
        <v>14.214485794317726</v>
      </c>
      <c r="F913" s="124">
        <v>13.079098305989062</v>
      </c>
      <c r="G913" s="124">
        <v>77.857142857142861</v>
      </c>
      <c r="H913" s="124">
        <v>77.857142857142861</v>
      </c>
      <c r="I913" s="124">
        <v>63.642657062825137</v>
      </c>
      <c r="J913" s="124">
        <v>90.936241163131925</v>
      </c>
      <c r="K913" s="445">
        <f t="shared" si="30"/>
        <v>-22.142857142857139</v>
      </c>
      <c r="L913" s="445">
        <f t="shared" si="31"/>
        <v>-36.357342937174863</v>
      </c>
      <c r="M913" s="445">
        <f t="shared" si="32"/>
        <v>-9.0637588368680753</v>
      </c>
    </row>
    <row r="914" spans="1:13" x14ac:dyDescent="0.3">
      <c r="A914" s="124" t="s">
        <v>547</v>
      </c>
      <c r="B914" s="124" t="s">
        <v>1077</v>
      </c>
      <c r="C914" s="146" t="s">
        <v>1057</v>
      </c>
      <c r="D914" s="146" t="s">
        <v>1053</v>
      </c>
      <c r="E914" s="124">
        <v>0</v>
      </c>
      <c r="F914" s="124">
        <v>0</v>
      </c>
      <c r="G914" s="124">
        <v>100</v>
      </c>
      <c r="H914" s="124">
        <v>100</v>
      </c>
      <c r="I914" s="124">
        <v>100</v>
      </c>
      <c r="J914" s="124">
        <v>100</v>
      </c>
      <c r="K914" s="445">
        <f t="shared" si="30"/>
        <v>0</v>
      </c>
      <c r="L914" s="445">
        <f t="shared" si="31"/>
        <v>0</v>
      </c>
      <c r="M914" s="445">
        <f t="shared" si="32"/>
        <v>0</v>
      </c>
    </row>
    <row r="915" spans="1:13" x14ac:dyDescent="0.3">
      <c r="A915" s="124" t="s">
        <v>547</v>
      </c>
      <c r="B915" s="146" t="s">
        <v>1077</v>
      </c>
      <c r="C915" s="124" t="s">
        <v>1052</v>
      </c>
      <c r="D915" s="146" t="s">
        <v>1054</v>
      </c>
      <c r="E915" s="124">
        <v>8.9863945578231288</v>
      </c>
      <c r="F915" s="124">
        <v>13.292517006802722</v>
      </c>
      <c r="G915" s="124">
        <v>24</v>
      </c>
      <c r="H915" s="124">
        <v>24</v>
      </c>
      <c r="I915" s="124">
        <v>15.013605442176871</v>
      </c>
      <c r="J915" s="124">
        <v>37.292517006802726</v>
      </c>
      <c r="K915" s="445">
        <f t="shared" si="30"/>
        <v>-76</v>
      </c>
      <c r="L915" s="445">
        <f t="shared" si="31"/>
        <v>-84.986394557823132</v>
      </c>
      <c r="M915" s="445">
        <f t="shared" si="32"/>
        <v>-62.707482993197274</v>
      </c>
    </row>
    <row r="916" spans="1:13" x14ac:dyDescent="0.3">
      <c r="A916" s="124" t="s">
        <v>547</v>
      </c>
      <c r="B916" s="146" t="s">
        <v>1077</v>
      </c>
      <c r="C916" s="124" t="s">
        <v>1056</v>
      </c>
      <c r="D916" s="146" t="s">
        <v>1054</v>
      </c>
      <c r="E916" s="124">
        <v>15.136054421768707</v>
      </c>
      <c r="F916" s="124">
        <v>21.92517006802721</v>
      </c>
      <c r="G916" s="124">
        <v>53.571428571428569</v>
      </c>
      <c r="H916" s="124">
        <v>53.571428571428569</v>
      </c>
      <c r="I916" s="124">
        <v>38.435374149659864</v>
      </c>
      <c r="J916" s="124">
        <v>75.496598639455783</v>
      </c>
      <c r="K916" s="445">
        <f t="shared" si="30"/>
        <v>-46.428571428571431</v>
      </c>
      <c r="L916" s="445">
        <f t="shared" si="31"/>
        <v>-61.564625850340136</v>
      </c>
      <c r="M916" s="445">
        <f t="shared" si="32"/>
        <v>-24.503401360544217</v>
      </c>
    </row>
    <row r="917" spans="1:13" x14ac:dyDescent="0.3">
      <c r="A917" s="124" t="s">
        <v>547</v>
      </c>
      <c r="B917" s="124" t="s">
        <v>1077</v>
      </c>
      <c r="C917" s="124" t="s">
        <v>1057</v>
      </c>
      <c r="D917" s="124" t="s">
        <v>1054</v>
      </c>
      <c r="E917" s="124">
        <v>6.4920634920634921</v>
      </c>
      <c r="F917" s="124">
        <v>4.3015873015873014</v>
      </c>
      <c r="G917" s="124">
        <v>97.571428571428569</v>
      </c>
      <c r="H917" s="124">
        <v>97.571428571428569</v>
      </c>
      <c r="I917" s="124">
        <v>91.079365079365076</v>
      </c>
      <c r="J917" s="124">
        <v>101.87301587301587</v>
      </c>
      <c r="K917" s="445">
        <f t="shared" si="30"/>
        <v>-2.4285714285714306</v>
      </c>
      <c r="L917" s="445">
        <f t="shared" si="31"/>
        <v>-8.9206349206349245</v>
      </c>
      <c r="M917" s="445">
        <f t="shared" si="32"/>
        <v>1.8730158730158735</v>
      </c>
    </row>
    <row r="918" spans="1:13" x14ac:dyDescent="0.3">
      <c r="A918" s="124" t="s">
        <v>547</v>
      </c>
      <c r="B918" s="124" t="s">
        <v>1077</v>
      </c>
      <c r="C918" s="124" t="s">
        <v>1052</v>
      </c>
      <c r="D918" s="124" t="s">
        <v>1055</v>
      </c>
      <c r="E918" s="124">
        <v>17.530612244897959</v>
      </c>
      <c r="F918" s="124">
        <v>25.251700680272108</v>
      </c>
      <c r="G918" s="124">
        <v>35.142857142857146</v>
      </c>
      <c r="H918" s="124">
        <v>35.142857142857146</v>
      </c>
      <c r="I918" s="124">
        <v>17.612244897959187</v>
      </c>
      <c r="J918" s="124">
        <v>60.394557823129254</v>
      </c>
      <c r="K918" s="445">
        <f t="shared" si="30"/>
        <v>-64.857142857142861</v>
      </c>
      <c r="L918" s="445">
        <f t="shared" si="31"/>
        <v>-82.387755102040813</v>
      </c>
      <c r="M918" s="445">
        <f t="shared" si="32"/>
        <v>-39.605442176870746</v>
      </c>
    </row>
    <row r="919" spans="1:13" x14ac:dyDescent="0.3">
      <c r="A919" s="124" t="s">
        <v>547</v>
      </c>
      <c r="B919" s="124" t="s">
        <v>1077</v>
      </c>
      <c r="C919" s="124" t="s">
        <v>1056</v>
      </c>
      <c r="D919" s="124" t="s">
        <v>1055</v>
      </c>
      <c r="E919" s="124">
        <v>32.401360544217688</v>
      </c>
      <c r="F919" s="124">
        <v>23.414965986394556</v>
      </c>
      <c r="G919" s="124">
        <v>66.714285714285708</v>
      </c>
      <c r="H919" s="124">
        <v>66.714285714285708</v>
      </c>
      <c r="I919" s="124">
        <v>34.31292517006802</v>
      </c>
      <c r="J919" s="124">
        <v>90.129251700680271</v>
      </c>
      <c r="K919" s="445">
        <f t="shared" si="30"/>
        <v>-33.285714285714292</v>
      </c>
      <c r="L919" s="445">
        <f t="shared" si="31"/>
        <v>-65.687074829931987</v>
      </c>
      <c r="M919" s="445">
        <f t="shared" si="32"/>
        <v>-9.8707482993197289</v>
      </c>
    </row>
    <row r="920" spans="1:13" x14ac:dyDescent="0.3">
      <c r="A920" s="124" t="s">
        <v>547</v>
      </c>
      <c r="B920" s="146" t="s">
        <v>1077</v>
      </c>
      <c r="C920" s="146" t="s">
        <v>1057</v>
      </c>
      <c r="D920" s="124" t="s">
        <v>1055</v>
      </c>
      <c r="E920" s="146">
        <v>18.892356942777109</v>
      </c>
      <c r="F920" s="124">
        <v>12.002000800320127</v>
      </c>
      <c r="G920" s="124">
        <v>87.428571428571431</v>
      </c>
      <c r="H920" s="124">
        <v>87.428571428571431</v>
      </c>
      <c r="I920" s="124">
        <v>68.536214485794318</v>
      </c>
      <c r="J920" s="124">
        <v>99.430572228891563</v>
      </c>
      <c r="K920" s="445">
        <f t="shared" si="30"/>
        <v>-12.571428571428569</v>
      </c>
      <c r="L920" s="445">
        <f t="shared" si="31"/>
        <v>-31.463785514205682</v>
      </c>
      <c r="M920" s="445">
        <f t="shared" si="32"/>
        <v>-0.56942777110843679</v>
      </c>
    </row>
    <row r="921" spans="1:13" x14ac:dyDescent="0.3">
      <c r="A921" s="124" t="s">
        <v>547</v>
      </c>
      <c r="B921" s="124" t="s">
        <v>622</v>
      </c>
      <c r="C921" s="124" t="s">
        <v>1052</v>
      </c>
      <c r="D921" s="124" t="s">
        <v>1053</v>
      </c>
      <c r="E921" s="124">
        <v>10.430038682139521</v>
      </c>
      <c r="F921" s="124">
        <v>15.486994797919168</v>
      </c>
      <c r="G921" s="124">
        <v>31.142857142857142</v>
      </c>
      <c r="H921" s="124">
        <v>31.142857142857142</v>
      </c>
      <c r="I921" s="124">
        <v>20.712818460717621</v>
      </c>
      <c r="J921" s="124">
        <v>46.629851940776312</v>
      </c>
      <c r="K921" s="445">
        <f t="shared" si="30"/>
        <v>-68.857142857142861</v>
      </c>
      <c r="L921" s="445">
        <f t="shared" si="31"/>
        <v>-79.287181539282386</v>
      </c>
      <c r="M921" s="445">
        <f t="shared" si="32"/>
        <v>-53.370148059223688</v>
      </c>
    </row>
    <row r="922" spans="1:13" x14ac:dyDescent="0.3">
      <c r="A922" s="124" t="s">
        <v>547</v>
      </c>
      <c r="B922" s="124" t="s">
        <v>622</v>
      </c>
      <c r="C922" s="124" t="s">
        <v>1056</v>
      </c>
      <c r="D922" s="124" t="s">
        <v>1053</v>
      </c>
      <c r="E922" s="124">
        <v>14.214485794317726</v>
      </c>
      <c r="F922" s="124">
        <v>13.079098305989062</v>
      </c>
      <c r="G922" s="124">
        <v>77.857142857142861</v>
      </c>
      <c r="H922" s="124">
        <v>77.857142857142861</v>
      </c>
      <c r="I922" s="124">
        <v>63.642657062825137</v>
      </c>
      <c r="J922" s="124">
        <v>90.936241163131925</v>
      </c>
      <c r="K922" s="445">
        <f t="shared" si="30"/>
        <v>-22.142857142857139</v>
      </c>
      <c r="L922" s="445">
        <f t="shared" si="31"/>
        <v>-36.357342937174863</v>
      </c>
      <c r="M922" s="445">
        <f t="shared" si="32"/>
        <v>-9.0637588368680753</v>
      </c>
    </row>
    <row r="923" spans="1:13" x14ac:dyDescent="0.3">
      <c r="A923" s="124" t="s">
        <v>547</v>
      </c>
      <c r="B923" s="124" t="s">
        <v>622</v>
      </c>
      <c r="C923" s="146" t="s">
        <v>1057</v>
      </c>
      <c r="D923" s="146" t="s">
        <v>1053</v>
      </c>
      <c r="E923" s="124">
        <v>0</v>
      </c>
      <c r="F923" s="124">
        <v>0</v>
      </c>
      <c r="G923" s="124">
        <v>100</v>
      </c>
      <c r="H923" s="124">
        <v>100</v>
      </c>
      <c r="I923" s="124">
        <v>100</v>
      </c>
      <c r="J923" s="124">
        <v>100</v>
      </c>
      <c r="K923" s="445">
        <f t="shared" si="30"/>
        <v>0</v>
      </c>
      <c r="L923" s="445">
        <f t="shared" si="31"/>
        <v>0</v>
      </c>
      <c r="M923" s="445">
        <f t="shared" si="32"/>
        <v>0</v>
      </c>
    </row>
    <row r="924" spans="1:13" x14ac:dyDescent="0.3">
      <c r="A924" s="124" t="s">
        <v>547</v>
      </c>
      <c r="B924" s="146" t="s">
        <v>622</v>
      </c>
      <c r="C924" s="124" t="s">
        <v>1052</v>
      </c>
      <c r="D924" s="146" t="s">
        <v>1054</v>
      </c>
      <c r="E924" s="124">
        <v>8.9863945578231288</v>
      </c>
      <c r="F924" s="124">
        <v>13.292517006802722</v>
      </c>
      <c r="G924" s="124">
        <v>24</v>
      </c>
      <c r="H924" s="124">
        <v>24</v>
      </c>
      <c r="I924" s="124">
        <v>15.013605442176871</v>
      </c>
      <c r="J924" s="124">
        <v>37.292517006802726</v>
      </c>
      <c r="K924" s="445">
        <f t="shared" si="30"/>
        <v>-76</v>
      </c>
      <c r="L924" s="445">
        <f t="shared" si="31"/>
        <v>-84.986394557823132</v>
      </c>
      <c r="M924" s="445">
        <f t="shared" si="32"/>
        <v>-62.707482993197274</v>
      </c>
    </row>
    <row r="925" spans="1:13" x14ac:dyDescent="0.3">
      <c r="A925" s="124" t="s">
        <v>547</v>
      </c>
      <c r="B925" s="146" t="s">
        <v>622</v>
      </c>
      <c r="C925" s="124" t="s">
        <v>1056</v>
      </c>
      <c r="D925" s="146" t="s">
        <v>1054</v>
      </c>
      <c r="E925" s="124">
        <v>15.136054421768707</v>
      </c>
      <c r="F925" s="124">
        <v>21.92517006802721</v>
      </c>
      <c r="G925" s="124">
        <v>53.571428571428569</v>
      </c>
      <c r="H925" s="124">
        <v>53.571428571428569</v>
      </c>
      <c r="I925" s="124">
        <v>38.435374149659864</v>
      </c>
      <c r="J925" s="124">
        <v>75.496598639455783</v>
      </c>
      <c r="K925" s="445">
        <f t="shared" si="30"/>
        <v>-46.428571428571431</v>
      </c>
      <c r="L925" s="445">
        <f t="shared" si="31"/>
        <v>-61.564625850340136</v>
      </c>
      <c r="M925" s="445">
        <f t="shared" si="32"/>
        <v>-24.503401360544217</v>
      </c>
    </row>
    <row r="926" spans="1:13" x14ac:dyDescent="0.3">
      <c r="A926" s="124" t="s">
        <v>547</v>
      </c>
      <c r="B926" s="124" t="s">
        <v>622</v>
      </c>
      <c r="C926" s="124" t="s">
        <v>1057</v>
      </c>
      <c r="D926" s="124" t="s">
        <v>1054</v>
      </c>
      <c r="E926" s="124">
        <v>6.4920634920634921</v>
      </c>
      <c r="F926" s="124">
        <v>4.3015873015873014</v>
      </c>
      <c r="G926" s="124">
        <v>97.571428571428569</v>
      </c>
      <c r="H926" s="124">
        <v>97.571428571428569</v>
      </c>
      <c r="I926" s="124">
        <v>91.079365079365076</v>
      </c>
      <c r="J926" s="124">
        <v>101.87301587301587</v>
      </c>
      <c r="K926" s="445">
        <f t="shared" si="30"/>
        <v>-2.4285714285714306</v>
      </c>
      <c r="L926" s="445">
        <f t="shared" si="31"/>
        <v>-8.9206349206349245</v>
      </c>
      <c r="M926" s="445">
        <f t="shared" si="32"/>
        <v>1.8730158730158735</v>
      </c>
    </row>
    <row r="927" spans="1:13" x14ac:dyDescent="0.3">
      <c r="A927" s="124" t="s">
        <v>547</v>
      </c>
      <c r="B927" s="124" t="s">
        <v>622</v>
      </c>
      <c r="C927" s="124" t="s">
        <v>1052</v>
      </c>
      <c r="D927" s="124" t="s">
        <v>1055</v>
      </c>
      <c r="E927" s="124">
        <v>17.530612244897959</v>
      </c>
      <c r="F927" s="124">
        <v>25.251700680272108</v>
      </c>
      <c r="G927" s="124">
        <v>35.142857142857146</v>
      </c>
      <c r="H927" s="124">
        <v>35.142857142857146</v>
      </c>
      <c r="I927" s="124">
        <v>17.612244897959187</v>
      </c>
      <c r="J927" s="124">
        <v>60.394557823129254</v>
      </c>
      <c r="K927" s="445">
        <f t="shared" si="30"/>
        <v>-64.857142857142861</v>
      </c>
      <c r="L927" s="445">
        <f t="shared" si="31"/>
        <v>-82.387755102040813</v>
      </c>
      <c r="M927" s="445">
        <f t="shared" si="32"/>
        <v>-39.605442176870746</v>
      </c>
    </row>
    <row r="928" spans="1:13" x14ac:dyDescent="0.3">
      <c r="A928" s="124" t="s">
        <v>547</v>
      </c>
      <c r="B928" s="124" t="s">
        <v>622</v>
      </c>
      <c r="C928" s="124" t="s">
        <v>1056</v>
      </c>
      <c r="D928" s="124" t="s">
        <v>1055</v>
      </c>
      <c r="E928" s="124">
        <v>32.401360544217688</v>
      </c>
      <c r="F928" s="124">
        <v>23.414965986394556</v>
      </c>
      <c r="G928" s="124">
        <v>66.714285714285708</v>
      </c>
      <c r="H928" s="124">
        <v>66.714285714285708</v>
      </c>
      <c r="I928" s="124">
        <v>34.31292517006802</v>
      </c>
      <c r="J928" s="124">
        <v>90.129251700680271</v>
      </c>
      <c r="K928" s="445">
        <f t="shared" si="30"/>
        <v>-33.285714285714292</v>
      </c>
      <c r="L928" s="445">
        <f t="shared" si="31"/>
        <v>-65.687074829931987</v>
      </c>
      <c r="M928" s="445">
        <f t="shared" si="32"/>
        <v>-9.8707482993197289</v>
      </c>
    </row>
    <row r="929" spans="1:13" x14ac:dyDescent="0.3">
      <c r="A929" s="124" t="s">
        <v>547</v>
      </c>
      <c r="B929" s="146" t="s">
        <v>622</v>
      </c>
      <c r="C929" s="146" t="s">
        <v>1057</v>
      </c>
      <c r="D929" s="124" t="s">
        <v>1055</v>
      </c>
      <c r="E929" s="146">
        <v>18.892356942777109</v>
      </c>
      <c r="F929" s="124">
        <v>12.002000800320127</v>
      </c>
      <c r="G929" s="124">
        <v>87.428571428571431</v>
      </c>
      <c r="H929" s="124">
        <v>87.428571428571431</v>
      </c>
      <c r="I929" s="124">
        <v>68.536214485794318</v>
      </c>
      <c r="J929" s="124">
        <v>99.430572228891563</v>
      </c>
      <c r="K929" s="445">
        <f t="shared" si="30"/>
        <v>-12.571428571428569</v>
      </c>
      <c r="L929" s="445">
        <f t="shared" si="31"/>
        <v>-31.463785514205682</v>
      </c>
      <c r="M929" s="445">
        <f t="shared" si="32"/>
        <v>-0.56942777110843679</v>
      </c>
    </row>
    <row r="930" spans="1:13" x14ac:dyDescent="0.3">
      <c r="A930" s="124" t="s">
        <v>547</v>
      </c>
      <c r="B930" s="124" t="s">
        <v>624</v>
      </c>
      <c r="C930" s="124" t="s">
        <v>1052</v>
      </c>
      <c r="D930" s="124" t="s">
        <v>1053</v>
      </c>
      <c r="E930" s="124">
        <v>10.430038682139521</v>
      </c>
      <c r="F930" s="124">
        <v>15.486994797919168</v>
      </c>
      <c r="G930" s="124">
        <v>31.142857142857142</v>
      </c>
      <c r="H930" s="124">
        <v>31.142857142857142</v>
      </c>
      <c r="I930" s="124">
        <v>20.712818460717621</v>
      </c>
      <c r="J930" s="124">
        <v>46.629851940776312</v>
      </c>
      <c r="K930" s="445">
        <f t="shared" si="30"/>
        <v>-68.857142857142861</v>
      </c>
      <c r="L930" s="445">
        <f t="shared" si="31"/>
        <v>-79.287181539282386</v>
      </c>
      <c r="M930" s="445">
        <f t="shared" si="32"/>
        <v>-53.370148059223688</v>
      </c>
    </row>
    <row r="931" spans="1:13" x14ac:dyDescent="0.3">
      <c r="A931" s="124" t="s">
        <v>547</v>
      </c>
      <c r="B931" s="124" t="s">
        <v>624</v>
      </c>
      <c r="C931" s="124" t="s">
        <v>1056</v>
      </c>
      <c r="D931" s="124" t="s">
        <v>1053</v>
      </c>
      <c r="E931" s="124">
        <v>14.214485794317726</v>
      </c>
      <c r="F931" s="124">
        <v>13.079098305989062</v>
      </c>
      <c r="G931" s="124">
        <v>77.857142857142861</v>
      </c>
      <c r="H931" s="124">
        <v>77.857142857142861</v>
      </c>
      <c r="I931" s="124">
        <v>63.642657062825137</v>
      </c>
      <c r="J931" s="124">
        <v>90.936241163131925</v>
      </c>
      <c r="K931" s="445">
        <f t="shared" si="30"/>
        <v>-22.142857142857139</v>
      </c>
      <c r="L931" s="445">
        <f t="shared" si="31"/>
        <v>-36.357342937174863</v>
      </c>
      <c r="M931" s="445">
        <f t="shared" si="32"/>
        <v>-9.0637588368680753</v>
      </c>
    </row>
    <row r="932" spans="1:13" x14ac:dyDescent="0.3">
      <c r="A932" s="124" t="s">
        <v>547</v>
      </c>
      <c r="B932" s="124" t="s">
        <v>624</v>
      </c>
      <c r="C932" s="146" t="s">
        <v>1057</v>
      </c>
      <c r="D932" s="146" t="s">
        <v>1053</v>
      </c>
      <c r="E932" s="124">
        <v>0</v>
      </c>
      <c r="F932" s="124">
        <v>0</v>
      </c>
      <c r="G932" s="124">
        <v>100</v>
      </c>
      <c r="H932" s="124">
        <v>100</v>
      </c>
      <c r="I932" s="124">
        <v>100</v>
      </c>
      <c r="J932" s="124">
        <v>100</v>
      </c>
      <c r="K932" s="445">
        <f t="shared" si="30"/>
        <v>0</v>
      </c>
      <c r="L932" s="445">
        <f t="shared" si="31"/>
        <v>0</v>
      </c>
      <c r="M932" s="445">
        <f t="shared" si="32"/>
        <v>0</v>
      </c>
    </row>
    <row r="933" spans="1:13" x14ac:dyDescent="0.3">
      <c r="A933" s="124" t="s">
        <v>547</v>
      </c>
      <c r="B933" s="146" t="s">
        <v>624</v>
      </c>
      <c r="C933" s="124" t="s">
        <v>1052</v>
      </c>
      <c r="D933" s="146" t="s">
        <v>1054</v>
      </c>
      <c r="E933" s="124">
        <v>8.9863945578231288</v>
      </c>
      <c r="F933" s="124">
        <v>13.292517006802722</v>
      </c>
      <c r="G933" s="124">
        <v>24</v>
      </c>
      <c r="H933" s="124">
        <v>24</v>
      </c>
      <c r="I933" s="124">
        <v>15.013605442176871</v>
      </c>
      <c r="J933" s="124">
        <v>37.292517006802726</v>
      </c>
      <c r="K933" s="445">
        <f t="shared" si="30"/>
        <v>-76</v>
      </c>
      <c r="L933" s="445">
        <f t="shared" si="31"/>
        <v>-84.986394557823132</v>
      </c>
      <c r="M933" s="445">
        <f t="shared" si="32"/>
        <v>-62.707482993197274</v>
      </c>
    </row>
    <row r="934" spans="1:13" x14ac:dyDescent="0.3">
      <c r="A934" s="124" t="s">
        <v>547</v>
      </c>
      <c r="B934" s="146" t="s">
        <v>624</v>
      </c>
      <c r="C934" s="124" t="s">
        <v>1056</v>
      </c>
      <c r="D934" s="146" t="s">
        <v>1054</v>
      </c>
      <c r="E934" s="124">
        <v>15.136054421768707</v>
      </c>
      <c r="F934" s="124">
        <v>21.92517006802721</v>
      </c>
      <c r="G934" s="124">
        <v>53.571428571428569</v>
      </c>
      <c r="H934" s="124">
        <v>53.571428571428569</v>
      </c>
      <c r="I934" s="124">
        <v>38.435374149659864</v>
      </c>
      <c r="J934" s="124">
        <v>75.496598639455783</v>
      </c>
      <c r="K934" s="445">
        <f t="shared" si="30"/>
        <v>-46.428571428571431</v>
      </c>
      <c r="L934" s="445">
        <f t="shared" si="31"/>
        <v>-61.564625850340136</v>
      </c>
      <c r="M934" s="445">
        <f t="shared" si="32"/>
        <v>-24.503401360544217</v>
      </c>
    </row>
    <row r="935" spans="1:13" x14ac:dyDescent="0.3">
      <c r="A935" s="124" t="s">
        <v>547</v>
      </c>
      <c r="B935" s="124" t="s">
        <v>624</v>
      </c>
      <c r="C935" s="124" t="s">
        <v>1057</v>
      </c>
      <c r="D935" s="124" t="s">
        <v>1054</v>
      </c>
      <c r="E935" s="124">
        <v>6.4920634920634921</v>
      </c>
      <c r="F935" s="124">
        <v>4.3015873015873014</v>
      </c>
      <c r="G935" s="124">
        <v>97.571428571428569</v>
      </c>
      <c r="H935" s="124">
        <v>97.571428571428569</v>
      </c>
      <c r="I935" s="124">
        <v>91.079365079365076</v>
      </c>
      <c r="J935" s="124">
        <v>101.87301587301587</v>
      </c>
      <c r="K935" s="445">
        <f t="shared" si="30"/>
        <v>-2.4285714285714306</v>
      </c>
      <c r="L935" s="445">
        <f t="shared" si="31"/>
        <v>-8.9206349206349245</v>
      </c>
      <c r="M935" s="445">
        <f t="shared" si="32"/>
        <v>1.8730158730158735</v>
      </c>
    </row>
    <row r="936" spans="1:13" x14ac:dyDescent="0.3">
      <c r="A936" s="124" t="s">
        <v>547</v>
      </c>
      <c r="B936" s="124" t="s">
        <v>624</v>
      </c>
      <c r="C936" s="124" t="s">
        <v>1052</v>
      </c>
      <c r="D936" s="124" t="s">
        <v>1055</v>
      </c>
      <c r="E936" s="124">
        <v>17.530612244897959</v>
      </c>
      <c r="F936" s="124">
        <v>25.251700680272108</v>
      </c>
      <c r="G936" s="124">
        <v>35.142857142857146</v>
      </c>
      <c r="H936" s="124">
        <v>35.142857142857146</v>
      </c>
      <c r="I936" s="124">
        <v>17.612244897959187</v>
      </c>
      <c r="J936" s="124">
        <v>60.394557823129254</v>
      </c>
      <c r="K936" s="445">
        <f t="shared" si="30"/>
        <v>-64.857142857142861</v>
      </c>
      <c r="L936" s="445">
        <f t="shared" si="31"/>
        <v>-82.387755102040813</v>
      </c>
      <c r="M936" s="445">
        <f t="shared" si="32"/>
        <v>-39.605442176870746</v>
      </c>
    </row>
    <row r="937" spans="1:13" x14ac:dyDescent="0.3">
      <c r="A937" s="124" t="s">
        <v>547</v>
      </c>
      <c r="B937" s="124" t="s">
        <v>624</v>
      </c>
      <c r="C937" s="124" t="s">
        <v>1056</v>
      </c>
      <c r="D937" s="124" t="s">
        <v>1055</v>
      </c>
      <c r="E937" s="124">
        <v>32.401360544217688</v>
      </c>
      <c r="F937" s="124">
        <v>23.414965986394556</v>
      </c>
      <c r="G937" s="124">
        <v>66.714285714285708</v>
      </c>
      <c r="H937" s="124">
        <v>66.714285714285708</v>
      </c>
      <c r="I937" s="124">
        <v>34.31292517006802</v>
      </c>
      <c r="J937" s="124">
        <v>90.129251700680271</v>
      </c>
      <c r="K937" s="445">
        <f t="shared" si="30"/>
        <v>-33.285714285714292</v>
      </c>
      <c r="L937" s="445">
        <f t="shared" si="31"/>
        <v>-65.687074829931987</v>
      </c>
      <c r="M937" s="445">
        <f t="shared" si="32"/>
        <v>-9.8707482993197289</v>
      </c>
    </row>
    <row r="938" spans="1:13" x14ac:dyDescent="0.3">
      <c r="A938" s="124" t="s">
        <v>547</v>
      </c>
      <c r="B938" s="146" t="s">
        <v>624</v>
      </c>
      <c r="C938" s="146" t="s">
        <v>1057</v>
      </c>
      <c r="D938" s="124" t="s">
        <v>1055</v>
      </c>
      <c r="E938" s="146">
        <v>18.892356942777109</v>
      </c>
      <c r="F938" s="124">
        <v>12.002000800320127</v>
      </c>
      <c r="G938" s="124">
        <v>87.428571428571431</v>
      </c>
      <c r="H938" s="124">
        <v>87.428571428571431</v>
      </c>
      <c r="I938" s="124">
        <v>68.536214485794318</v>
      </c>
      <c r="J938" s="124">
        <v>99.430572228891563</v>
      </c>
      <c r="K938" s="445">
        <f t="shared" si="30"/>
        <v>-12.571428571428569</v>
      </c>
      <c r="L938" s="445">
        <f t="shared" si="31"/>
        <v>-31.463785514205682</v>
      </c>
      <c r="M938" s="445">
        <f t="shared" si="32"/>
        <v>-0.56942777110843679</v>
      </c>
    </row>
    <row r="939" spans="1:13" x14ac:dyDescent="0.3">
      <c r="A939" s="124" t="s">
        <v>547</v>
      </c>
      <c r="B939" s="124" t="s">
        <v>626</v>
      </c>
      <c r="C939" s="124" t="s">
        <v>1052</v>
      </c>
      <c r="D939" s="124" t="s">
        <v>1053</v>
      </c>
      <c r="E939" s="124">
        <v>16.993168575447054</v>
      </c>
      <c r="F939" s="124">
        <v>18.448864777978702</v>
      </c>
      <c r="G939" s="124">
        <v>48.571428571428569</v>
      </c>
      <c r="H939" s="124">
        <v>48.571428571428569</v>
      </c>
      <c r="I939" s="124">
        <v>31.578259995981515</v>
      </c>
      <c r="J939" s="124">
        <v>67.020293349407268</v>
      </c>
      <c r="K939" s="445">
        <f t="shared" si="30"/>
        <v>-51.428571428571431</v>
      </c>
      <c r="L939" s="445">
        <f t="shared" si="31"/>
        <v>-68.421740004018488</v>
      </c>
      <c r="M939" s="445">
        <f t="shared" si="32"/>
        <v>-32.979706650592732</v>
      </c>
    </row>
    <row r="940" spans="1:13" x14ac:dyDescent="0.3">
      <c r="A940" s="124" t="s">
        <v>547</v>
      </c>
      <c r="B940" s="124" t="s">
        <v>626</v>
      </c>
      <c r="C940" s="124" t="s">
        <v>1056</v>
      </c>
      <c r="D940" s="124" t="s">
        <v>1053</v>
      </c>
      <c r="E940" s="124">
        <v>18.634920634920636</v>
      </c>
      <c r="F940" s="124">
        <v>7.9183673469387736</v>
      </c>
      <c r="G940" s="124">
        <v>80.428571428571431</v>
      </c>
      <c r="H940" s="124">
        <v>80.428571428571431</v>
      </c>
      <c r="I940" s="124">
        <v>61.793650793650798</v>
      </c>
      <c r="J940" s="124">
        <v>88.34693877551021</v>
      </c>
      <c r="K940" s="445">
        <f t="shared" si="30"/>
        <v>-19.571428571428569</v>
      </c>
      <c r="L940" s="445">
        <f t="shared" si="31"/>
        <v>-38.206349206349202</v>
      </c>
      <c r="M940" s="445">
        <f t="shared" si="32"/>
        <v>-11.65306122448979</v>
      </c>
    </row>
    <row r="941" spans="1:13" x14ac:dyDescent="0.3">
      <c r="A941" s="124" t="s">
        <v>547</v>
      </c>
      <c r="B941" s="146" t="s">
        <v>626</v>
      </c>
      <c r="C941" s="146" t="s">
        <v>1057</v>
      </c>
      <c r="D941" s="146" t="s">
        <v>1053</v>
      </c>
      <c r="E941" s="146">
        <v>0</v>
      </c>
      <c r="F941" s="146">
        <v>0</v>
      </c>
      <c r="G941" s="146">
        <v>100</v>
      </c>
      <c r="H941" s="146">
        <v>100</v>
      </c>
      <c r="I941" s="146">
        <v>100</v>
      </c>
      <c r="J941" s="146">
        <v>100</v>
      </c>
      <c r="K941" s="445">
        <f t="shared" si="30"/>
        <v>0</v>
      </c>
      <c r="L941" s="445">
        <f t="shared" si="31"/>
        <v>0</v>
      </c>
      <c r="M941" s="445">
        <f t="shared" si="32"/>
        <v>0</v>
      </c>
    </row>
    <row r="942" spans="1:13" x14ac:dyDescent="0.3">
      <c r="A942" s="124" t="s">
        <v>547</v>
      </c>
      <c r="B942" s="146" t="s">
        <v>626</v>
      </c>
      <c r="C942" s="124" t="s">
        <v>1052</v>
      </c>
      <c r="D942" s="146" t="s">
        <v>1054</v>
      </c>
      <c r="E942" s="124">
        <v>11.494197679071629</v>
      </c>
      <c r="F942" s="124">
        <v>17.222088835534212</v>
      </c>
      <c r="G942" s="124">
        <v>24.285714285714285</v>
      </c>
      <c r="H942" s="124">
        <v>24.285714285714285</v>
      </c>
      <c r="I942" s="124">
        <v>12.791516606642656</v>
      </c>
      <c r="J942" s="124">
        <v>41.5078031212485</v>
      </c>
      <c r="K942" s="445">
        <f t="shared" si="30"/>
        <v>-75.714285714285722</v>
      </c>
      <c r="L942" s="445">
        <f t="shared" si="31"/>
        <v>-87.208483393357341</v>
      </c>
      <c r="M942" s="445">
        <f t="shared" si="32"/>
        <v>-58.4921968787515</v>
      </c>
    </row>
    <row r="943" spans="1:13" x14ac:dyDescent="0.3">
      <c r="A943" s="124" t="s">
        <v>547</v>
      </c>
      <c r="B943" s="146" t="s">
        <v>626</v>
      </c>
      <c r="C943" s="124" t="s">
        <v>1056</v>
      </c>
      <c r="D943" s="124" t="s">
        <v>1054</v>
      </c>
      <c r="E943" s="124">
        <v>21.179271708683476</v>
      </c>
      <c r="F943" s="124">
        <v>19.88515406162465</v>
      </c>
      <c r="G943" s="124">
        <v>59.285714285714285</v>
      </c>
      <c r="H943" s="124">
        <v>59.285714285714285</v>
      </c>
      <c r="I943" s="124">
        <v>38.106442577030805</v>
      </c>
      <c r="J943" s="124">
        <v>79.170868347338939</v>
      </c>
      <c r="K943" s="445">
        <f t="shared" si="30"/>
        <v>-40.714285714285715</v>
      </c>
      <c r="L943" s="445">
        <f t="shared" si="31"/>
        <v>-61.893557422969195</v>
      </c>
      <c r="M943" s="445">
        <f t="shared" si="32"/>
        <v>-20.829131652661061</v>
      </c>
    </row>
    <row r="944" spans="1:13" x14ac:dyDescent="0.3">
      <c r="A944" s="124" t="s">
        <v>547</v>
      </c>
      <c r="B944" s="124" t="s">
        <v>626</v>
      </c>
      <c r="C944" s="124" t="s">
        <v>1057</v>
      </c>
      <c r="D944" s="124" t="s">
        <v>1054</v>
      </c>
      <c r="E944" s="124">
        <v>7.4952380952380953</v>
      </c>
      <c r="F944" s="124">
        <v>4.4730158730158731</v>
      </c>
      <c r="G944" s="124">
        <v>97.857142857142861</v>
      </c>
      <c r="H944" s="124">
        <v>97.857142857142861</v>
      </c>
      <c r="I944" s="124">
        <v>90.361904761904768</v>
      </c>
      <c r="J944" s="124">
        <v>102.33015873015873</v>
      </c>
      <c r="K944" s="445">
        <f t="shared" si="30"/>
        <v>-2.1428571428571388</v>
      </c>
      <c r="L944" s="445">
        <f t="shared" si="31"/>
        <v>-9.6380952380952323</v>
      </c>
      <c r="M944" s="445">
        <f t="shared" si="32"/>
        <v>2.330158730158729</v>
      </c>
    </row>
    <row r="945" spans="1:13" x14ac:dyDescent="0.3">
      <c r="A945" s="124" t="s">
        <v>547</v>
      </c>
      <c r="B945" s="124" t="s">
        <v>626</v>
      </c>
      <c r="C945" s="124" t="s">
        <v>1052</v>
      </c>
      <c r="D945" s="124" t="s">
        <v>1055</v>
      </c>
      <c r="E945" s="124">
        <v>18.190476190476186</v>
      </c>
      <c r="F945" s="124">
        <v>21.176870748299319</v>
      </c>
      <c r="G945" s="124">
        <v>36.857142857142854</v>
      </c>
      <c r="H945" s="124">
        <v>36.857142857142854</v>
      </c>
      <c r="I945" s="124">
        <v>18.666666666666668</v>
      </c>
      <c r="J945" s="124">
        <v>58.034013605442169</v>
      </c>
      <c r="K945" s="445">
        <f t="shared" si="30"/>
        <v>-63.142857142857146</v>
      </c>
      <c r="L945" s="445">
        <f t="shared" si="31"/>
        <v>-81.333333333333329</v>
      </c>
      <c r="M945" s="445">
        <f t="shared" si="32"/>
        <v>-41.965986394557831</v>
      </c>
    </row>
    <row r="946" spans="1:13" x14ac:dyDescent="0.3">
      <c r="A946" s="124" t="s">
        <v>547</v>
      </c>
      <c r="B946" s="124" t="s">
        <v>626</v>
      </c>
      <c r="C946" s="124" t="s">
        <v>1056</v>
      </c>
      <c r="D946" s="124" t="s">
        <v>1055</v>
      </c>
      <c r="E946" s="124">
        <v>21.326530612244898</v>
      </c>
      <c r="F946" s="124">
        <v>19.69387755102041</v>
      </c>
      <c r="G946" s="124">
        <v>71.428571428571431</v>
      </c>
      <c r="H946" s="124">
        <v>71.428571428571431</v>
      </c>
      <c r="I946" s="124">
        <v>50.102040816326536</v>
      </c>
      <c r="J946" s="124">
        <v>91.122448979591837</v>
      </c>
      <c r="K946" s="445">
        <f t="shared" si="30"/>
        <v>-28.571428571428569</v>
      </c>
      <c r="L946" s="445">
        <f t="shared" si="31"/>
        <v>-49.897959183673464</v>
      </c>
      <c r="M946" s="445">
        <f t="shared" si="32"/>
        <v>-8.8775510204081627</v>
      </c>
    </row>
    <row r="947" spans="1:13" x14ac:dyDescent="0.3">
      <c r="A947" s="124" t="s">
        <v>547</v>
      </c>
      <c r="B947" s="146" t="s">
        <v>626</v>
      </c>
      <c r="C947" s="146" t="s">
        <v>1057</v>
      </c>
      <c r="D947" s="124" t="s">
        <v>1055</v>
      </c>
      <c r="E947" s="146">
        <v>17.551020408163264</v>
      </c>
      <c r="F947" s="124">
        <v>11.655328798185939</v>
      </c>
      <c r="G947" s="124">
        <v>92.142857142857139</v>
      </c>
      <c r="H947" s="124">
        <v>92.142857142857139</v>
      </c>
      <c r="I947" s="124">
        <v>74.591836734693871</v>
      </c>
      <c r="J947" s="124">
        <v>103.79818594104307</v>
      </c>
      <c r="K947" s="445">
        <f t="shared" si="30"/>
        <v>-7.8571428571428612</v>
      </c>
      <c r="L947" s="445">
        <f t="shared" si="31"/>
        <v>-25.408163265306129</v>
      </c>
      <c r="M947" s="445">
        <f t="shared" si="32"/>
        <v>3.7981859410430729</v>
      </c>
    </row>
    <row r="948" spans="1:13" x14ac:dyDescent="0.3">
      <c r="A948" s="124" t="s">
        <v>547</v>
      </c>
      <c r="B948" s="124" t="s">
        <v>629</v>
      </c>
      <c r="C948" s="124" t="s">
        <v>1052</v>
      </c>
      <c r="D948" s="124" t="s">
        <v>1053</v>
      </c>
      <c r="E948" s="124">
        <v>18.272572186769445</v>
      </c>
      <c r="F948" s="124">
        <v>16.41435521577052</v>
      </c>
      <c r="G948" s="124">
        <v>47.857142857142854</v>
      </c>
      <c r="H948" s="124">
        <v>47.857142857142854</v>
      </c>
      <c r="I948" s="124">
        <v>29.584570670373409</v>
      </c>
      <c r="J948" s="124">
        <v>64.271498072913374</v>
      </c>
      <c r="K948" s="445">
        <f t="shared" si="30"/>
        <v>-52.142857142857146</v>
      </c>
      <c r="L948" s="445">
        <f t="shared" si="31"/>
        <v>-70.415429329626591</v>
      </c>
      <c r="M948" s="445">
        <f t="shared" si="32"/>
        <v>-35.728501927086626</v>
      </c>
    </row>
    <row r="949" spans="1:13" x14ac:dyDescent="0.3">
      <c r="A949" s="124" t="s">
        <v>547</v>
      </c>
      <c r="B949" s="124" t="s">
        <v>629</v>
      </c>
      <c r="C949" s="124" t="s">
        <v>1056</v>
      </c>
      <c r="D949" s="124" t="s">
        <v>1053</v>
      </c>
      <c r="E949" s="124">
        <v>19.050546534403232</v>
      </c>
      <c r="F949" s="124">
        <v>9.404625007897895</v>
      </c>
      <c r="G949" s="124">
        <v>80.857142857142861</v>
      </c>
      <c r="H949" s="124">
        <v>80.857142857142861</v>
      </c>
      <c r="I949" s="124">
        <v>61.80659632273963</v>
      </c>
      <c r="J949" s="124">
        <v>90.261767865040753</v>
      </c>
      <c r="K949" s="445">
        <f t="shared" si="30"/>
        <v>-19.142857142857139</v>
      </c>
      <c r="L949" s="445">
        <f t="shared" si="31"/>
        <v>-38.19340367726037</v>
      </c>
      <c r="M949" s="445">
        <f t="shared" si="32"/>
        <v>-9.7382321349592473</v>
      </c>
    </row>
    <row r="950" spans="1:13" x14ac:dyDescent="0.3">
      <c r="A950" s="124" t="s">
        <v>547</v>
      </c>
      <c r="B950" s="146" t="s">
        <v>629</v>
      </c>
      <c r="C950" s="146" t="s">
        <v>1057</v>
      </c>
      <c r="D950" s="124" t="s">
        <v>1053</v>
      </c>
      <c r="E950" s="124">
        <v>0</v>
      </c>
      <c r="F950" s="124">
        <v>0</v>
      </c>
      <c r="G950" s="124">
        <v>100</v>
      </c>
      <c r="H950" s="124">
        <v>100</v>
      </c>
      <c r="I950" s="124">
        <v>100</v>
      </c>
      <c r="J950" s="124">
        <v>100</v>
      </c>
      <c r="K950" s="445">
        <f t="shared" si="30"/>
        <v>0</v>
      </c>
      <c r="L950" s="445">
        <f t="shared" si="31"/>
        <v>0</v>
      </c>
      <c r="M950" s="445">
        <f t="shared" si="32"/>
        <v>0</v>
      </c>
    </row>
    <row r="951" spans="1:13" x14ac:dyDescent="0.3">
      <c r="A951" s="124" t="s">
        <v>547</v>
      </c>
      <c r="B951" s="146" t="s">
        <v>629</v>
      </c>
      <c r="C951" s="146" t="s">
        <v>1052</v>
      </c>
      <c r="D951" s="146" t="s">
        <v>1054</v>
      </c>
      <c r="E951" s="146">
        <v>12.469387755102042</v>
      </c>
      <c r="F951" s="146">
        <v>21.408163265306118</v>
      </c>
      <c r="G951" s="146">
        <v>24.714285714285715</v>
      </c>
      <c r="H951" s="146">
        <v>24.714285714285715</v>
      </c>
      <c r="I951" s="146">
        <v>12.244897959183673</v>
      </c>
      <c r="J951" s="146">
        <v>46.122448979591837</v>
      </c>
      <c r="K951" s="445">
        <f t="shared" si="30"/>
        <v>-75.285714285714278</v>
      </c>
      <c r="L951" s="445">
        <f t="shared" si="31"/>
        <v>-87.755102040816325</v>
      </c>
      <c r="M951" s="445">
        <f t="shared" si="32"/>
        <v>-53.877551020408163</v>
      </c>
    </row>
    <row r="952" spans="1:13" x14ac:dyDescent="0.3">
      <c r="A952" s="124" t="s">
        <v>547</v>
      </c>
      <c r="B952" s="124" t="s">
        <v>629</v>
      </c>
      <c r="C952" s="124" t="s">
        <v>1056</v>
      </c>
      <c r="D952" s="124" t="s">
        <v>1054</v>
      </c>
      <c r="E952" s="124">
        <v>26.632653061224488</v>
      </c>
      <c r="F952" s="124">
        <v>19</v>
      </c>
      <c r="G952" s="124">
        <v>65.285714285714292</v>
      </c>
      <c r="H952" s="124">
        <v>65.285714285714292</v>
      </c>
      <c r="I952" s="124">
        <v>38.653061224489804</v>
      </c>
      <c r="J952" s="124">
        <v>84.285714285714292</v>
      </c>
      <c r="K952" s="445">
        <f t="shared" si="30"/>
        <v>-34.714285714285708</v>
      </c>
      <c r="L952" s="445">
        <f t="shared" si="31"/>
        <v>-61.346938775510196</v>
      </c>
      <c r="M952" s="445">
        <f t="shared" si="32"/>
        <v>-15.714285714285708</v>
      </c>
    </row>
    <row r="953" spans="1:13" x14ac:dyDescent="0.3">
      <c r="A953" s="124" t="s">
        <v>547</v>
      </c>
      <c r="B953" s="124" t="s">
        <v>629</v>
      </c>
      <c r="C953" s="124" t="s">
        <v>1057</v>
      </c>
      <c r="D953" s="124" t="s">
        <v>1054</v>
      </c>
      <c r="E953" s="124">
        <v>8.0588235294117645</v>
      </c>
      <c r="F953" s="124">
        <v>6.7731092436974789</v>
      </c>
      <c r="G953" s="124">
        <v>96.714285714285708</v>
      </c>
      <c r="H953" s="124">
        <v>96.714285714285708</v>
      </c>
      <c r="I953" s="124">
        <v>88.65546218487394</v>
      </c>
      <c r="J953" s="124">
        <v>103.48739495798318</v>
      </c>
      <c r="K953" s="445">
        <f t="shared" si="30"/>
        <v>-3.2857142857142918</v>
      </c>
      <c r="L953" s="445">
        <f t="shared" si="31"/>
        <v>-11.34453781512606</v>
      </c>
      <c r="M953" s="445">
        <f t="shared" si="32"/>
        <v>3.4873949579831844</v>
      </c>
    </row>
    <row r="954" spans="1:13" x14ac:dyDescent="0.3">
      <c r="A954" s="124" t="s">
        <v>547</v>
      </c>
      <c r="B954" s="124" t="s">
        <v>629</v>
      </c>
      <c r="C954" s="124" t="s">
        <v>1052</v>
      </c>
      <c r="D954" s="124" t="s">
        <v>1055</v>
      </c>
      <c r="E954" s="124">
        <v>20.755102040816325</v>
      </c>
      <c r="F954" s="124">
        <v>24.789115646258502</v>
      </c>
      <c r="G954" s="124">
        <v>41.857142857142854</v>
      </c>
      <c r="H954" s="124">
        <v>41.857142857142854</v>
      </c>
      <c r="I954" s="124">
        <v>21.102040816326529</v>
      </c>
      <c r="J954" s="124">
        <v>66.646258503401356</v>
      </c>
      <c r="K954" s="445">
        <f t="shared" si="30"/>
        <v>-58.142857142857146</v>
      </c>
      <c r="L954" s="445">
        <f t="shared" si="31"/>
        <v>-78.897959183673464</v>
      </c>
      <c r="M954" s="445">
        <f t="shared" si="32"/>
        <v>-33.353741496598644</v>
      </c>
    </row>
    <row r="955" spans="1:13" x14ac:dyDescent="0.3">
      <c r="A955" s="124" t="s">
        <v>547</v>
      </c>
      <c r="B955" s="124" t="s">
        <v>629</v>
      </c>
      <c r="C955" s="124" t="s">
        <v>1056</v>
      </c>
      <c r="D955" s="124" t="s">
        <v>1055</v>
      </c>
      <c r="E955" s="124">
        <v>27.851700680272106</v>
      </c>
      <c r="F955" s="124">
        <v>20.659863945578227</v>
      </c>
      <c r="G955" s="124">
        <v>74.285714285714292</v>
      </c>
      <c r="H955" s="124">
        <v>74.285714285714292</v>
      </c>
      <c r="I955" s="124">
        <v>46.434013605442189</v>
      </c>
      <c r="J955" s="124">
        <v>94.945578231292515</v>
      </c>
      <c r="K955" s="445">
        <f t="shared" si="30"/>
        <v>-25.714285714285708</v>
      </c>
      <c r="L955" s="445">
        <f t="shared" si="31"/>
        <v>-53.565986394557811</v>
      </c>
      <c r="M955" s="445">
        <f t="shared" si="32"/>
        <v>-5.0544217687074848</v>
      </c>
    </row>
    <row r="956" spans="1:13" x14ac:dyDescent="0.3">
      <c r="A956" s="124" t="s">
        <v>547</v>
      </c>
      <c r="B956" s="146" t="s">
        <v>629</v>
      </c>
      <c r="C956" s="146" t="s">
        <v>1057</v>
      </c>
      <c r="D956" s="124" t="s">
        <v>1055</v>
      </c>
      <c r="E956" s="146">
        <v>17.897959183673468</v>
      </c>
      <c r="F956" s="124">
        <v>13.156462585034012</v>
      </c>
      <c r="G956" s="124">
        <v>82.857142857142861</v>
      </c>
      <c r="H956" s="124">
        <v>82.857142857142861</v>
      </c>
      <c r="I956" s="124">
        <v>64.959183673469397</v>
      </c>
      <c r="J956" s="124">
        <v>96.013605442176868</v>
      </c>
      <c r="K956" s="445">
        <f t="shared" si="30"/>
        <v>-17.142857142857139</v>
      </c>
      <c r="L956" s="445">
        <f t="shared" si="31"/>
        <v>-35.040816326530603</v>
      </c>
      <c r="M956" s="445">
        <f t="shared" si="32"/>
        <v>-3.9863945578231323</v>
      </c>
    </row>
    <row r="957" spans="1:13" x14ac:dyDescent="0.3">
      <c r="A957" s="124" t="s">
        <v>547</v>
      </c>
      <c r="B957" s="146" t="s">
        <v>631</v>
      </c>
      <c r="C957" s="124" t="s">
        <v>1052</v>
      </c>
      <c r="D957" s="146" t="s">
        <v>1053</v>
      </c>
      <c r="E957" s="124">
        <v>17.035689170182842</v>
      </c>
      <c r="F957" s="124">
        <v>19.712201125175806</v>
      </c>
      <c r="G957" s="124">
        <v>29.625</v>
      </c>
      <c r="H957" s="124">
        <v>29.625</v>
      </c>
      <c r="I957" s="124">
        <v>12.589310829817158</v>
      </c>
      <c r="J957" s="124">
        <v>49.33720112517581</v>
      </c>
      <c r="K957" s="445">
        <f t="shared" si="30"/>
        <v>-70.375</v>
      </c>
      <c r="L957" s="445">
        <f t="shared" si="31"/>
        <v>-87.410689170182849</v>
      </c>
      <c r="M957" s="445">
        <f t="shared" si="32"/>
        <v>-50.66279887482419</v>
      </c>
    </row>
    <row r="958" spans="1:13" x14ac:dyDescent="0.3">
      <c r="A958" s="124" t="s">
        <v>547</v>
      </c>
      <c r="B958" s="124" t="s">
        <v>631</v>
      </c>
      <c r="C958" s="124" t="s">
        <v>1056</v>
      </c>
      <c r="D958" s="124" t="s">
        <v>1053</v>
      </c>
      <c r="E958" s="124">
        <v>22.037301587301588</v>
      </c>
      <c r="F958" s="124">
        <v>24.133333333333333</v>
      </c>
      <c r="G958" s="124">
        <v>64.25</v>
      </c>
      <c r="H958" s="124">
        <v>64.25</v>
      </c>
      <c r="I958" s="124">
        <v>42.212698412698415</v>
      </c>
      <c r="J958" s="124">
        <v>88.383333333333326</v>
      </c>
      <c r="K958" s="445">
        <f t="shared" si="30"/>
        <v>-35.75</v>
      </c>
      <c r="L958" s="445">
        <f t="shared" si="31"/>
        <v>-57.787301587301585</v>
      </c>
      <c r="M958" s="445">
        <f t="shared" si="32"/>
        <v>-11.616666666666674</v>
      </c>
    </row>
    <row r="959" spans="1:13" x14ac:dyDescent="0.3">
      <c r="A959" s="124" t="s">
        <v>547</v>
      </c>
      <c r="B959" s="146" t="s">
        <v>631</v>
      </c>
      <c r="C959" s="146" t="s">
        <v>1057</v>
      </c>
      <c r="D959" s="124" t="s">
        <v>1053</v>
      </c>
      <c r="E959" s="124">
        <v>0</v>
      </c>
      <c r="F959" s="124">
        <v>0</v>
      </c>
      <c r="G959" s="124">
        <v>100</v>
      </c>
      <c r="H959" s="124">
        <v>100</v>
      </c>
      <c r="I959" s="124">
        <v>100</v>
      </c>
      <c r="J959" s="124">
        <v>100</v>
      </c>
      <c r="K959" s="445">
        <f t="shared" ref="K959:K1022" si="33">0-(100-H959)</f>
        <v>0</v>
      </c>
      <c r="L959" s="445">
        <f t="shared" ref="L959:L1022" si="34">0-(100-I959)</f>
        <v>0</v>
      </c>
      <c r="M959" s="445">
        <f t="shared" ref="M959:M1022" si="35">0-(100-J959)</f>
        <v>0</v>
      </c>
    </row>
    <row r="960" spans="1:13" x14ac:dyDescent="0.3">
      <c r="A960" s="124" t="s">
        <v>547</v>
      </c>
      <c r="B960" s="146" t="s">
        <v>631</v>
      </c>
      <c r="C960" s="124" t="s">
        <v>1052</v>
      </c>
      <c r="D960" s="124" t="s">
        <v>1054</v>
      </c>
      <c r="E960" s="124">
        <v>15.057422969187673</v>
      </c>
      <c r="F960" s="124">
        <v>21.860994397759104</v>
      </c>
      <c r="G960" s="124">
        <v>25.5</v>
      </c>
      <c r="H960" s="124">
        <v>25.5</v>
      </c>
      <c r="I960" s="124">
        <v>10.442577030812327</v>
      </c>
      <c r="J960" s="124">
        <v>47.3609943977591</v>
      </c>
      <c r="K960" s="445">
        <f t="shared" si="33"/>
        <v>-74.5</v>
      </c>
      <c r="L960" s="445">
        <f t="shared" si="34"/>
        <v>-89.55742296918767</v>
      </c>
      <c r="M960" s="445">
        <f t="shared" si="35"/>
        <v>-52.6390056022409</v>
      </c>
    </row>
    <row r="961" spans="1:13" x14ac:dyDescent="0.3">
      <c r="A961" s="124" t="s">
        <v>547</v>
      </c>
      <c r="B961" s="146" t="s">
        <v>631</v>
      </c>
      <c r="C961" s="124" t="s">
        <v>1056</v>
      </c>
      <c r="D961" s="146" t="s">
        <v>1054</v>
      </c>
      <c r="E961" s="124">
        <v>34.276642475171883</v>
      </c>
      <c r="F961" s="124">
        <v>21.350744843391897</v>
      </c>
      <c r="G961" s="124">
        <v>63.5</v>
      </c>
      <c r="H961" s="124">
        <v>63.5</v>
      </c>
      <c r="I961" s="124">
        <v>29.223357524828117</v>
      </c>
      <c r="J961" s="124">
        <v>84.850744843391894</v>
      </c>
      <c r="K961" s="445">
        <f t="shared" si="33"/>
        <v>-36.5</v>
      </c>
      <c r="L961" s="445">
        <f t="shared" si="34"/>
        <v>-70.776642475171883</v>
      </c>
      <c r="M961" s="445">
        <f t="shared" si="35"/>
        <v>-15.149255156608106</v>
      </c>
    </row>
    <row r="962" spans="1:13" x14ac:dyDescent="0.3">
      <c r="A962" s="124" t="s">
        <v>547</v>
      </c>
      <c r="B962" s="124" t="s">
        <v>631</v>
      </c>
      <c r="C962" s="124" t="s">
        <v>1057</v>
      </c>
      <c r="D962" s="124" t="s">
        <v>1054</v>
      </c>
      <c r="E962" s="124">
        <v>10.15359477124183</v>
      </c>
      <c r="F962" s="124">
        <v>5.6674836601307188</v>
      </c>
      <c r="G962" s="124">
        <v>97.25</v>
      </c>
      <c r="H962" s="124">
        <v>97.25</v>
      </c>
      <c r="I962" s="124">
        <v>87.096405228758172</v>
      </c>
      <c r="J962" s="124">
        <v>102.91748366013071</v>
      </c>
      <c r="K962" s="445">
        <f t="shared" si="33"/>
        <v>-2.75</v>
      </c>
      <c r="L962" s="445">
        <f t="shared" si="34"/>
        <v>-12.903594771241828</v>
      </c>
      <c r="M962" s="445">
        <f t="shared" si="35"/>
        <v>2.9174836601307135</v>
      </c>
    </row>
    <row r="963" spans="1:13" x14ac:dyDescent="0.3">
      <c r="A963" s="124" t="s">
        <v>547</v>
      </c>
      <c r="B963" s="124" t="s">
        <v>631</v>
      </c>
      <c r="C963" s="124" t="s">
        <v>1052</v>
      </c>
      <c r="D963" s="124" t="s">
        <v>1055</v>
      </c>
      <c r="E963" s="124">
        <v>28.971428571428572</v>
      </c>
      <c r="F963" s="124">
        <v>31.034523809523808</v>
      </c>
      <c r="G963" s="124">
        <v>44.75</v>
      </c>
      <c r="H963" s="124">
        <v>44.75</v>
      </c>
      <c r="I963" s="124">
        <v>15.778571428571428</v>
      </c>
      <c r="J963" s="124">
        <v>75.784523809523805</v>
      </c>
      <c r="K963" s="445">
        <f t="shared" si="33"/>
        <v>-55.25</v>
      </c>
      <c r="L963" s="445">
        <f t="shared" si="34"/>
        <v>-84.221428571428575</v>
      </c>
      <c r="M963" s="445">
        <f t="shared" si="35"/>
        <v>-24.215476190476195</v>
      </c>
    </row>
    <row r="964" spans="1:13" x14ac:dyDescent="0.3">
      <c r="A964" s="124" t="s">
        <v>547</v>
      </c>
      <c r="B964" s="124" t="s">
        <v>631</v>
      </c>
      <c r="C964" s="124" t="s">
        <v>1056</v>
      </c>
      <c r="D964" s="124" t="s">
        <v>1055</v>
      </c>
      <c r="E964" s="124">
        <v>39.62911255411256</v>
      </c>
      <c r="F964" s="124">
        <v>23.213419913419912</v>
      </c>
      <c r="G964" s="124">
        <v>71.75</v>
      </c>
      <c r="H964" s="124">
        <v>71.75</v>
      </c>
      <c r="I964" s="124">
        <v>32.12088744588744</v>
      </c>
      <c r="J964" s="124">
        <v>94.963419913419912</v>
      </c>
      <c r="K964" s="445">
        <f t="shared" si="33"/>
        <v>-28.25</v>
      </c>
      <c r="L964" s="445">
        <f t="shared" si="34"/>
        <v>-67.879112554112567</v>
      </c>
      <c r="M964" s="445">
        <f t="shared" si="35"/>
        <v>-5.0365800865800878</v>
      </c>
    </row>
    <row r="965" spans="1:13" x14ac:dyDescent="0.3">
      <c r="A965" s="124" t="s">
        <v>547</v>
      </c>
      <c r="B965" s="146" t="s">
        <v>631</v>
      </c>
      <c r="C965" s="146" t="s">
        <v>1057</v>
      </c>
      <c r="D965" s="124" t="s">
        <v>1055</v>
      </c>
      <c r="E965" s="146">
        <v>18.953479853479852</v>
      </c>
      <c r="F965" s="124">
        <v>11.10909645909646</v>
      </c>
      <c r="G965" s="124">
        <v>87.125</v>
      </c>
      <c r="H965" s="124">
        <v>87.125</v>
      </c>
      <c r="I965" s="124">
        <v>68.171520146520152</v>
      </c>
      <c r="J965" s="124">
        <v>98.234096459096463</v>
      </c>
      <c r="K965" s="445">
        <f t="shared" si="33"/>
        <v>-12.875</v>
      </c>
      <c r="L965" s="445">
        <f t="shared" si="34"/>
        <v>-31.828479853479848</v>
      </c>
      <c r="M965" s="445">
        <f t="shared" si="35"/>
        <v>-1.7659035409035369</v>
      </c>
    </row>
    <row r="966" spans="1:13" x14ac:dyDescent="0.3">
      <c r="A966" s="124" t="s">
        <v>547</v>
      </c>
      <c r="B966" s="124" t="s">
        <v>635</v>
      </c>
      <c r="C966" s="124" t="s">
        <v>1052</v>
      </c>
      <c r="D966" s="124" t="s">
        <v>1053</v>
      </c>
      <c r="E966" s="124">
        <v>14.702380952380951</v>
      </c>
      <c r="F966" s="124">
        <v>20.674603174603174</v>
      </c>
      <c r="G966" s="124">
        <v>60</v>
      </c>
      <c r="H966" s="124">
        <v>60</v>
      </c>
      <c r="I966" s="124">
        <v>45.297619047619051</v>
      </c>
      <c r="J966" s="124">
        <v>80.674603174603178</v>
      </c>
      <c r="K966" s="445">
        <f t="shared" si="33"/>
        <v>-40</v>
      </c>
      <c r="L966" s="445">
        <f t="shared" si="34"/>
        <v>-54.702380952380949</v>
      </c>
      <c r="M966" s="445">
        <f t="shared" si="35"/>
        <v>-19.325396825396822</v>
      </c>
    </row>
    <row r="967" spans="1:13" x14ac:dyDescent="0.3">
      <c r="A967" s="124" t="s">
        <v>547</v>
      </c>
      <c r="B967" s="124" t="s">
        <v>635</v>
      </c>
      <c r="C967" s="124" t="s">
        <v>1056</v>
      </c>
      <c r="D967" s="124" t="s">
        <v>1053</v>
      </c>
      <c r="E967" s="124">
        <v>13.204887218045112</v>
      </c>
      <c r="F967" s="124">
        <v>14.633458646616541</v>
      </c>
      <c r="G967" s="124">
        <v>90.625</v>
      </c>
      <c r="H967" s="124">
        <v>90.625</v>
      </c>
      <c r="I967" s="124">
        <v>77.420112781954884</v>
      </c>
      <c r="J967" s="124">
        <v>105.25845864661655</v>
      </c>
      <c r="K967" s="445">
        <f t="shared" si="33"/>
        <v>-9.375</v>
      </c>
      <c r="L967" s="445">
        <f t="shared" si="34"/>
        <v>-22.579887218045116</v>
      </c>
      <c r="M967" s="445">
        <f t="shared" si="35"/>
        <v>5.2584586466165462</v>
      </c>
    </row>
    <row r="968" spans="1:13" x14ac:dyDescent="0.3">
      <c r="A968" s="124" t="s">
        <v>547</v>
      </c>
      <c r="B968" s="146" t="s">
        <v>635</v>
      </c>
      <c r="C968" s="146" t="s">
        <v>1057</v>
      </c>
      <c r="D968" s="124" t="s">
        <v>1053</v>
      </c>
      <c r="E968" s="124">
        <v>0</v>
      </c>
      <c r="F968" s="124">
        <v>0</v>
      </c>
      <c r="G968" s="124">
        <v>100</v>
      </c>
      <c r="H968" s="124">
        <v>100</v>
      </c>
      <c r="I968" s="124">
        <v>100</v>
      </c>
      <c r="J968" s="124">
        <v>100</v>
      </c>
      <c r="K968" s="445">
        <f t="shared" si="33"/>
        <v>0</v>
      </c>
      <c r="L968" s="445">
        <f t="shared" si="34"/>
        <v>0</v>
      </c>
      <c r="M968" s="445">
        <f t="shared" si="35"/>
        <v>0</v>
      </c>
    </row>
    <row r="969" spans="1:13" x14ac:dyDescent="0.3">
      <c r="A969" s="124" t="s">
        <v>547</v>
      </c>
      <c r="B969" s="146" t="s">
        <v>635</v>
      </c>
      <c r="C969" s="124" t="s">
        <v>1052</v>
      </c>
      <c r="D969" s="146" t="s">
        <v>1054</v>
      </c>
      <c r="E969" s="124">
        <v>19.459302951950011</v>
      </c>
      <c r="F969" s="124">
        <v>17.511177547942253</v>
      </c>
      <c r="G969" s="124">
        <v>33.75</v>
      </c>
      <c r="H969" s="124">
        <v>33.75</v>
      </c>
      <c r="I969" s="124">
        <v>14.290697048049989</v>
      </c>
      <c r="J969" s="124">
        <v>51.261177547942253</v>
      </c>
      <c r="K969" s="445">
        <f t="shared" si="33"/>
        <v>-66.25</v>
      </c>
      <c r="L969" s="445">
        <f t="shared" si="34"/>
        <v>-85.709302951950008</v>
      </c>
      <c r="M969" s="445">
        <f t="shared" si="35"/>
        <v>-48.738822452057747</v>
      </c>
    </row>
    <row r="970" spans="1:13" x14ac:dyDescent="0.3">
      <c r="A970" s="124" t="s">
        <v>547</v>
      </c>
      <c r="B970" s="124" t="s">
        <v>635</v>
      </c>
      <c r="C970" s="124" t="s">
        <v>1056</v>
      </c>
      <c r="D970" s="124" t="s">
        <v>1054</v>
      </c>
      <c r="E970" s="124">
        <v>14.658613445378151</v>
      </c>
      <c r="F970" s="124">
        <v>11.213235294117647</v>
      </c>
      <c r="G970" s="124">
        <v>79.375</v>
      </c>
      <c r="H970" s="124">
        <v>79.375</v>
      </c>
      <c r="I970" s="124">
        <v>64.716386554621849</v>
      </c>
      <c r="J970" s="124">
        <v>90.588235294117652</v>
      </c>
      <c r="K970" s="445">
        <f t="shared" si="33"/>
        <v>-20.625</v>
      </c>
      <c r="L970" s="445">
        <f t="shared" si="34"/>
        <v>-35.283613445378151</v>
      </c>
      <c r="M970" s="445">
        <f t="shared" si="35"/>
        <v>-9.4117647058823479</v>
      </c>
    </row>
    <row r="971" spans="1:13" x14ac:dyDescent="0.3">
      <c r="A971" s="124" t="s">
        <v>547</v>
      </c>
      <c r="B971" s="124" t="s">
        <v>635</v>
      </c>
      <c r="C971" s="124" t="s">
        <v>1057</v>
      </c>
      <c r="D971" s="124" t="s">
        <v>1054</v>
      </c>
      <c r="E971" s="124">
        <v>10.0922035480859</v>
      </c>
      <c r="F971" s="124">
        <v>5.6973622782446309</v>
      </c>
      <c r="G971" s="124">
        <v>95</v>
      </c>
      <c r="H971" s="124">
        <v>95</v>
      </c>
      <c r="I971" s="124">
        <v>84.907796451914095</v>
      </c>
      <c r="J971" s="124">
        <v>100.69736227824463</v>
      </c>
      <c r="K971" s="445">
        <f t="shared" si="33"/>
        <v>-5</v>
      </c>
      <c r="L971" s="445">
        <f t="shared" si="34"/>
        <v>-15.092203548085905</v>
      </c>
      <c r="M971" s="445">
        <f t="shared" si="35"/>
        <v>0.6973622782446256</v>
      </c>
    </row>
    <row r="972" spans="1:13" x14ac:dyDescent="0.3">
      <c r="A972" s="124" t="s">
        <v>547</v>
      </c>
      <c r="B972" s="124" t="s">
        <v>635</v>
      </c>
      <c r="C972" s="124" t="s">
        <v>1052</v>
      </c>
      <c r="D972" s="124" t="s">
        <v>1055</v>
      </c>
      <c r="E972" s="124">
        <v>33.273809523809526</v>
      </c>
      <c r="F972" s="124">
        <v>18.06547619047619</v>
      </c>
      <c r="G972" s="124">
        <v>60.625</v>
      </c>
      <c r="H972" s="124">
        <v>60.625</v>
      </c>
      <c r="I972" s="124">
        <v>27.351190476190474</v>
      </c>
      <c r="J972" s="124">
        <v>78.69047619047619</v>
      </c>
      <c r="K972" s="445">
        <f t="shared" si="33"/>
        <v>-39.375</v>
      </c>
      <c r="L972" s="445">
        <f t="shared" si="34"/>
        <v>-72.648809523809518</v>
      </c>
      <c r="M972" s="445">
        <f t="shared" si="35"/>
        <v>-21.30952380952381</v>
      </c>
    </row>
    <row r="973" spans="1:13" x14ac:dyDescent="0.3">
      <c r="A973" s="124" t="s">
        <v>547</v>
      </c>
      <c r="B973" s="124" t="s">
        <v>635</v>
      </c>
      <c r="C973" s="124" t="s">
        <v>1056</v>
      </c>
      <c r="D973" s="124" t="s">
        <v>1055</v>
      </c>
      <c r="E973" s="124">
        <v>20.633753501400559</v>
      </c>
      <c r="F973" s="124">
        <v>16.645658263305322</v>
      </c>
      <c r="G973" s="124">
        <v>81.875</v>
      </c>
      <c r="H973" s="124">
        <v>81.875</v>
      </c>
      <c r="I973" s="124">
        <v>61.241246498599438</v>
      </c>
      <c r="J973" s="124">
        <v>98.520658263305322</v>
      </c>
      <c r="K973" s="445">
        <f t="shared" si="33"/>
        <v>-18.125</v>
      </c>
      <c r="L973" s="445">
        <f t="shared" si="34"/>
        <v>-38.758753501400562</v>
      </c>
      <c r="M973" s="445">
        <f t="shared" si="35"/>
        <v>-1.4793417366946784</v>
      </c>
    </row>
    <row r="974" spans="1:13" x14ac:dyDescent="0.3">
      <c r="A974" s="124" t="s">
        <v>547</v>
      </c>
      <c r="B974" s="146" t="s">
        <v>635</v>
      </c>
      <c r="C974" s="146" t="s">
        <v>1057</v>
      </c>
      <c r="D974" s="146" t="s">
        <v>1055</v>
      </c>
      <c r="E974" s="146">
        <v>16.369047619047617</v>
      </c>
      <c r="F974" s="146">
        <v>15.416666666666666</v>
      </c>
      <c r="G974" s="146">
        <v>86.875</v>
      </c>
      <c r="H974" s="146">
        <v>86.875</v>
      </c>
      <c r="I974" s="146">
        <v>70.50595238095238</v>
      </c>
      <c r="J974" s="146">
        <v>102.29166666666667</v>
      </c>
      <c r="K974" s="445">
        <f t="shared" si="33"/>
        <v>-13.125</v>
      </c>
      <c r="L974" s="445">
        <f t="shared" si="34"/>
        <v>-29.49404761904762</v>
      </c>
      <c r="M974" s="445">
        <f t="shared" si="35"/>
        <v>2.2916666666666714</v>
      </c>
    </row>
    <row r="975" spans="1:13" x14ac:dyDescent="0.3">
      <c r="A975" s="124" t="s">
        <v>547</v>
      </c>
      <c r="B975" s="146" t="s">
        <v>638</v>
      </c>
      <c r="C975" s="124" t="s">
        <v>1052</v>
      </c>
      <c r="D975" s="124" t="s">
        <v>1053</v>
      </c>
      <c r="E975" s="124">
        <v>10.578231292517005</v>
      </c>
      <c r="F975" s="124">
        <v>12.721088435374147</v>
      </c>
      <c r="G975" s="124">
        <v>19.285714285714285</v>
      </c>
      <c r="H975" s="124">
        <v>19.285714285714285</v>
      </c>
      <c r="I975" s="124">
        <v>8.7074829931972797</v>
      </c>
      <c r="J975" s="124">
        <v>32.006802721088434</v>
      </c>
      <c r="K975" s="445">
        <f t="shared" si="33"/>
        <v>-80.714285714285722</v>
      </c>
      <c r="L975" s="445">
        <f t="shared" si="34"/>
        <v>-91.292517006802726</v>
      </c>
      <c r="M975" s="445">
        <f t="shared" si="35"/>
        <v>-67.993197278911566</v>
      </c>
    </row>
    <row r="976" spans="1:13" x14ac:dyDescent="0.3">
      <c r="A976" s="124" t="s">
        <v>547</v>
      </c>
      <c r="B976" s="124" t="s">
        <v>638</v>
      </c>
      <c r="C976" s="124" t="s">
        <v>1056</v>
      </c>
      <c r="D976" s="124" t="s">
        <v>1053</v>
      </c>
      <c r="E976" s="124">
        <v>25.476190476190474</v>
      </c>
      <c r="F976" s="124">
        <v>19.761904761904759</v>
      </c>
      <c r="G976" s="124">
        <v>56.571428571428569</v>
      </c>
      <c r="H976" s="124">
        <v>56.571428571428569</v>
      </c>
      <c r="I976" s="124">
        <v>31.095238095238095</v>
      </c>
      <c r="J976" s="124">
        <v>76.333333333333329</v>
      </c>
      <c r="K976" s="445">
        <f t="shared" si="33"/>
        <v>-43.428571428571431</v>
      </c>
      <c r="L976" s="445">
        <f t="shared" si="34"/>
        <v>-68.904761904761898</v>
      </c>
      <c r="M976" s="445">
        <f t="shared" si="35"/>
        <v>-23.666666666666671</v>
      </c>
    </row>
    <row r="977" spans="1:13" x14ac:dyDescent="0.3">
      <c r="A977" s="124" t="s">
        <v>547</v>
      </c>
      <c r="B977" s="146" t="s">
        <v>638</v>
      </c>
      <c r="C977" s="146" t="s">
        <v>1057</v>
      </c>
      <c r="D977" s="124" t="s">
        <v>1053</v>
      </c>
      <c r="E977" s="124">
        <v>0</v>
      </c>
      <c r="F977" s="124">
        <v>0</v>
      </c>
      <c r="G977" s="124">
        <v>100</v>
      </c>
      <c r="H977" s="124">
        <v>100</v>
      </c>
      <c r="I977" s="124">
        <v>100</v>
      </c>
      <c r="J977" s="124">
        <v>100</v>
      </c>
      <c r="K977" s="445">
        <f t="shared" si="33"/>
        <v>0</v>
      </c>
      <c r="L977" s="445">
        <f t="shared" si="34"/>
        <v>0</v>
      </c>
      <c r="M977" s="445">
        <f t="shared" si="35"/>
        <v>0</v>
      </c>
    </row>
    <row r="978" spans="1:13" x14ac:dyDescent="0.3">
      <c r="A978" s="124" t="s">
        <v>547</v>
      </c>
      <c r="B978" s="146" t="s">
        <v>638</v>
      </c>
      <c r="C978" s="124" t="s">
        <v>1052</v>
      </c>
      <c r="D978" s="124" t="s">
        <v>1054</v>
      </c>
      <c r="E978" s="124">
        <v>7.5203414699213011</v>
      </c>
      <c r="F978" s="124">
        <v>12.826463918900894</v>
      </c>
      <c r="G978" s="124">
        <v>17.857142857142858</v>
      </c>
      <c r="H978" s="124">
        <v>17.857142857142858</v>
      </c>
      <c r="I978" s="124">
        <v>10.336801387221556</v>
      </c>
      <c r="J978" s="124">
        <v>30.683606776043753</v>
      </c>
      <c r="K978" s="445">
        <f t="shared" si="33"/>
        <v>-82.142857142857139</v>
      </c>
      <c r="L978" s="445">
        <f t="shared" si="34"/>
        <v>-89.663198612778444</v>
      </c>
      <c r="M978" s="445">
        <f t="shared" si="35"/>
        <v>-69.316393223956254</v>
      </c>
    </row>
    <row r="979" spans="1:13" x14ac:dyDescent="0.3">
      <c r="A979" s="124" t="s">
        <v>547</v>
      </c>
      <c r="B979" s="146" t="s">
        <v>638</v>
      </c>
      <c r="C979" s="146" t="s">
        <v>1056</v>
      </c>
      <c r="D979" s="146" t="s">
        <v>1054</v>
      </c>
      <c r="E979" s="146">
        <v>19.165399493130586</v>
      </c>
      <c r="F979" s="146">
        <v>20.575830332132853</v>
      </c>
      <c r="G979" s="146">
        <v>45.571428571428569</v>
      </c>
      <c r="H979" s="146">
        <v>45.571428571428569</v>
      </c>
      <c r="I979" s="146">
        <v>26.406029078297983</v>
      </c>
      <c r="J979" s="146">
        <v>66.147258903561422</v>
      </c>
      <c r="K979" s="445">
        <f t="shared" si="33"/>
        <v>-54.428571428571431</v>
      </c>
      <c r="L979" s="445">
        <f t="shared" si="34"/>
        <v>-73.593970921702009</v>
      </c>
      <c r="M979" s="445">
        <f t="shared" si="35"/>
        <v>-33.852741096438578</v>
      </c>
    </row>
    <row r="980" spans="1:13" x14ac:dyDescent="0.3">
      <c r="A980" s="124" t="s">
        <v>547</v>
      </c>
      <c r="B980" s="124" t="s">
        <v>638</v>
      </c>
      <c r="C980" s="124" t="s">
        <v>1057</v>
      </c>
      <c r="D980" s="124" t="s">
        <v>1054</v>
      </c>
      <c r="E980" s="124">
        <v>9.5079365079365079</v>
      </c>
      <c r="F980" s="124">
        <v>6.4444444444444446</v>
      </c>
      <c r="G980" s="124">
        <v>98.714285714285708</v>
      </c>
      <c r="H980" s="124">
        <v>98.714285714285708</v>
      </c>
      <c r="I980" s="124">
        <v>89.206349206349202</v>
      </c>
      <c r="J980" s="124">
        <v>105.15873015873015</v>
      </c>
      <c r="K980" s="445">
        <f t="shared" si="33"/>
        <v>-1.2857142857142918</v>
      </c>
      <c r="L980" s="445">
        <f t="shared" si="34"/>
        <v>-10.793650793650798</v>
      </c>
      <c r="M980" s="445">
        <f t="shared" si="35"/>
        <v>5.1587301587301511</v>
      </c>
    </row>
    <row r="981" spans="1:13" x14ac:dyDescent="0.3">
      <c r="A981" s="124" t="s">
        <v>547</v>
      </c>
      <c r="B981" s="124" t="s">
        <v>638</v>
      </c>
      <c r="C981" s="124" t="s">
        <v>1052</v>
      </c>
      <c r="D981" s="124" t="s">
        <v>1055</v>
      </c>
      <c r="E981" s="124">
        <v>18.185941043083897</v>
      </c>
      <c r="F981" s="124">
        <v>20.170068027210885</v>
      </c>
      <c r="G981" s="124">
        <v>46.428571428571431</v>
      </c>
      <c r="H981" s="124">
        <v>46.428571428571431</v>
      </c>
      <c r="I981" s="124">
        <v>28.242630385487534</v>
      </c>
      <c r="J981" s="124">
        <v>66.598639455782319</v>
      </c>
      <c r="K981" s="445">
        <f t="shared" si="33"/>
        <v>-53.571428571428569</v>
      </c>
      <c r="L981" s="445">
        <f t="shared" si="34"/>
        <v>-71.75736961451247</v>
      </c>
      <c r="M981" s="445">
        <f t="shared" si="35"/>
        <v>-33.401360544217681</v>
      </c>
    </row>
    <row r="982" spans="1:13" x14ac:dyDescent="0.3">
      <c r="A982" s="124" t="s">
        <v>547</v>
      </c>
      <c r="B982" s="124" t="s">
        <v>638</v>
      </c>
      <c r="C982" s="124" t="s">
        <v>1056</v>
      </c>
      <c r="D982" s="124" t="s">
        <v>1055</v>
      </c>
      <c r="E982" s="124">
        <v>21.943310657596374</v>
      </c>
      <c r="F982" s="124">
        <v>16.582766439909296</v>
      </c>
      <c r="G982" s="124">
        <v>69.857142857142861</v>
      </c>
      <c r="H982" s="124">
        <v>69.857142857142861</v>
      </c>
      <c r="I982" s="124">
        <v>47.913832199546491</v>
      </c>
      <c r="J982" s="124">
        <v>86.439909297052154</v>
      </c>
      <c r="K982" s="445">
        <f t="shared" si="33"/>
        <v>-30.142857142857139</v>
      </c>
      <c r="L982" s="445">
        <f t="shared" si="34"/>
        <v>-52.086167800453509</v>
      </c>
      <c r="M982" s="445">
        <f t="shared" si="35"/>
        <v>-13.560090702947846</v>
      </c>
    </row>
    <row r="983" spans="1:13" x14ac:dyDescent="0.3">
      <c r="A983" s="124" t="s">
        <v>547</v>
      </c>
      <c r="B983" s="146" t="s">
        <v>638</v>
      </c>
      <c r="C983" s="146" t="s">
        <v>1057</v>
      </c>
      <c r="D983" s="146" t="s">
        <v>1055</v>
      </c>
      <c r="E983" s="146">
        <v>15.634920634920634</v>
      </c>
      <c r="F983" s="146">
        <v>12.063492063492063</v>
      </c>
      <c r="G983" s="146">
        <v>92.857142857142861</v>
      </c>
      <c r="H983" s="146">
        <v>92.857142857142861</v>
      </c>
      <c r="I983" s="146">
        <v>77.222222222222229</v>
      </c>
      <c r="J983" s="146">
        <v>104.92063492063492</v>
      </c>
      <c r="K983" s="445">
        <f t="shared" si="33"/>
        <v>-7.1428571428571388</v>
      </c>
      <c r="L983" s="445">
        <f t="shared" si="34"/>
        <v>-22.777777777777771</v>
      </c>
      <c r="M983" s="445">
        <f t="shared" si="35"/>
        <v>4.9206349206349245</v>
      </c>
    </row>
    <row r="984" spans="1:13" x14ac:dyDescent="0.3">
      <c r="A984" s="124" t="s">
        <v>547</v>
      </c>
      <c r="B984" s="124" t="s">
        <v>641</v>
      </c>
      <c r="C984" s="124" t="s">
        <v>1052</v>
      </c>
      <c r="D984" s="124" t="s">
        <v>1053</v>
      </c>
      <c r="E984" s="124">
        <v>13.364621489621488</v>
      </c>
      <c r="F984" s="124">
        <v>18.364621489621488</v>
      </c>
      <c r="G984" s="124">
        <v>84.375</v>
      </c>
      <c r="H984" s="124">
        <v>84.375</v>
      </c>
      <c r="I984" s="124">
        <v>71.010378510378516</v>
      </c>
      <c r="J984" s="124">
        <v>102.73962148962148</v>
      </c>
      <c r="K984" s="445">
        <f t="shared" si="33"/>
        <v>-15.625</v>
      </c>
      <c r="L984" s="445">
        <f t="shared" si="34"/>
        <v>-28.989621489621484</v>
      </c>
      <c r="M984" s="445">
        <f t="shared" si="35"/>
        <v>2.7396214896214843</v>
      </c>
    </row>
    <row r="985" spans="1:13" x14ac:dyDescent="0.3">
      <c r="A985" s="124" t="s">
        <v>547</v>
      </c>
      <c r="B985" s="124" t="s">
        <v>641</v>
      </c>
      <c r="C985" s="124" t="s">
        <v>1056</v>
      </c>
      <c r="D985" s="124" t="s">
        <v>1053</v>
      </c>
      <c r="E985" s="124">
        <v>10.079365079365079</v>
      </c>
      <c r="F985" s="124">
        <v>9.6626984126984112</v>
      </c>
      <c r="G985" s="124">
        <v>96.25</v>
      </c>
      <c r="H985" s="124">
        <v>96.25</v>
      </c>
      <c r="I985" s="124">
        <v>86.170634920634924</v>
      </c>
      <c r="J985" s="124">
        <v>105.9126984126984</v>
      </c>
      <c r="K985" s="445">
        <f t="shared" si="33"/>
        <v>-3.75</v>
      </c>
      <c r="L985" s="445">
        <f t="shared" si="34"/>
        <v>-13.829365079365076</v>
      </c>
      <c r="M985" s="445">
        <f t="shared" si="35"/>
        <v>5.9126984126984041</v>
      </c>
    </row>
    <row r="986" spans="1:13" x14ac:dyDescent="0.3">
      <c r="A986" s="124" t="s">
        <v>547</v>
      </c>
      <c r="B986" s="146" t="s">
        <v>641</v>
      </c>
      <c r="C986" s="146" t="s">
        <v>1057</v>
      </c>
      <c r="D986" s="124" t="s">
        <v>1053</v>
      </c>
      <c r="E986" s="124">
        <v>0</v>
      </c>
      <c r="F986" s="124">
        <v>0</v>
      </c>
      <c r="G986" s="124">
        <v>100</v>
      </c>
      <c r="H986" s="124">
        <v>100</v>
      </c>
      <c r="I986" s="124">
        <v>100</v>
      </c>
      <c r="J986" s="124">
        <v>100</v>
      </c>
      <c r="K986" s="445">
        <f t="shared" si="33"/>
        <v>0</v>
      </c>
      <c r="L986" s="445">
        <f t="shared" si="34"/>
        <v>0</v>
      </c>
      <c r="M986" s="445">
        <f t="shared" si="35"/>
        <v>0</v>
      </c>
    </row>
    <row r="987" spans="1:13" x14ac:dyDescent="0.3">
      <c r="A987" s="124" t="s">
        <v>547</v>
      </c>
      <c r="B987" s="146" t="s">
        <v>641</v>
      </c>
      <c r="C987" s="124" t="s">
        <v>1052</v>
      </c>
      <c r="D987" s="124" t="s">
        <v>1054</v>
      </c>
      <c r="E987" s="124">
        <v>20.143557422969188</v>
      </c>
      <c r="F987" s="124">
        <v>20.381652661064425</v>
      </c>
      <c r="G987" s="124">
        <v>65.625</v>
      </c>
      <c r="H987" s="124">
        <v>65.625</v>
      </c>
      <c r="I987" s="124">
        <v>45.481442577030812</v>
      </c>
      <c r="J987" s="124">
        <v>86.006652661064422</v>
      </c>
      <c r="K987" s="445">
        <f t="shared" si="33"/>
        <v>-34.375</v>
      </c>
      <c r="L987" s="445">
        <f t="shared" si="34"/>
        <v>-54.518557422969188</v>
      </c>
      <c r="M987" s="445">
        <f t="shared" si="35"/>
        <v>-13.993347338935578</v>
      </c>
    </row>
    <row r="988" spans="1:13" x14ac:dyDescent="0.3">
      <c r="A988" s="124" t="s">
        <v>547</v>
      </c>
      <c r="B988" s="124" t="s">
        <v>641</v>
      </c>
      <c r="C988" s="124" t="s">
        <v>1056</v>
      </c>
      <c r="D988" s="124" t="s">
        <v>1054</v>
      </c>
      <c r="E988" s="124">
        <v>10.391456582633053</v>
      </c>
      <c r="F988" s="124">
        <v>14.790616246498598</v>
      </c>
      <c r="G988" s="124">
        <v>82.875</v>
      </c>
      <c r="H988" s="124">
        <v>82.875</v>
      </c>
      <c r="I988" s="124">
        <v>72.483543417366946</v>
      </c>
      <c r="J988" s="124">
        <v>97.665616246498601</v>
      </c>
      <c r="K988" s="445">
        <f t="shared" si="33"/>
        <v>-17.125</v>
      </c>
      <c r="L988" s="445">
        <f t="shared" si="34"/>
        <v>-27.516456582633054</v>
      </c>
      <c r="M988" s="445">
        <f t="shared" si="35"/>
        <v>-2.3343837535013989</v>
      </c>
    </row>
    <row r="989" spans="1:13" x14ac:dyDescent="0.3">
      <c r="A989" s="124" t="s">
        <v>547</v>
      </c>
      <c r="B989" s="124" t="s">
        <v>641</v>
      </c>
      <c r="C989" s="124" t="s">
        <v>1057</v>
      </c>
      <c r="D989" s="124" t="s">
        <v>1054</v>
      </c>
      <c r="E989" s="124">
        <v>5.9313725490196081</v>
      </c>
      <c r="F989" s="124">
        <v>4.0931372549019613</v>
      </c>
      <c r="G989" s="124">
        <v>99.375</v>
      </c>
      <c r="H989" s="124">
        <v>99.375</v>
      </c>
      <c r="I989" s="124">
        <v>93.443627450980387</v>
      </c>
      <c r="J989" s="124">
        <v>103.46813725490196</v>
      </c>
      <c r="K989" s="445">
        <f t="shared" si="33"/>
        <v>-0.625</v>
      </c>
      <c r="L989" s="445">
        <f t="shared" si="34"/>
        <v>-6.5563725490196134</v>
      </c>
      <c r="M989" s="445">
        <f t="shared" si="35"/>
        <v>3.4681372549019613</v>
      </c>
    </row>
    <row r="990" spans="1:13" x14ac:dyDescent="0.3">
      <c r="A990" s="124" t="s">
        <v>547</v>
      </c>
      <c r="B990" s="124" t="s">
        <v>641</v>
      </c>
      <c r="C990" s="124" t="s">
        <v>1052</v>
      </c>
      <c r="D990" s="124" t="s">
        <v>1055</v>
      </c>
      <c r="E990" s="124">
        <v>17.440476190476186</v>
      </c>
      <c r="F990" s="124">
        <v>18.839285714285712</v>
      </c>
      <c r="G990" s="124">
        <v>78.125</v>
      </c>
      <c r="H990" s="124">
        <v>78.125</v>
      </c>
      <c r="I990" s="124">
        <v>60.68452380952381</v>
      </c>
      <c r="J990" s="124">
        <v>96.964285714285708</v>
      </c>
      <c r="K990" s="445">
        <f t="shared" si="33"/>
        <v>-21.875</v>
      </c>
      <c r="L990" s="445">
        <f t="shared" si="34"/>
        <v>-39.31547619047619</v>
      </c>
      <c r="M990" s="445">
        <f t="shared" si="35"/>
        <v>-3.0357142857142918</v>
      </c>
    </row>
    <row r="991" spans="1:13" x14ac:dyDescent="0.3">
      <c r="A991" s="124" t="s">
        <v>547</v>
      </c>
      <c r="B991" s="146" t="s">
        <v>641</v>
      </c>
      <c r="C991" s="146" t="s">
        <v>1056</v>
      </c>
      <c r="D991" s="124" t="s">
        <v>1055</v>
      </c>
      <c r="E991" s="146">
        <v>17.172619047619047</v>
      </c>
      <c r="F991" s="124">
        <v>13.06547619047619</v>
      </c>
      <c r="G991" s="124">
        <v>90</v>
      </c>
      <c r="H991" s="124">
        <v>90</v>
      </c>
      <c r="I991" s="124">
        <v>72.827380952380949</v>
      </c>
      <c r="J991" s="124">
        <v>103.06547619047619</v>
      </c>
      <c r="K991" s="445">
        <f t="shared" si="33"/>
        <v>-10</v>
      </c>
      <c r="L991" s="445">
        <f t="shared" si="34"/>
        <v>-27.172619047619051</v>
      </c>
      <c r="M991" s="445">
        <f t="shared" si="35"/>
        <v>3.0654761904761898</v>
      </c>
    </row>
    <row r="992" spans="1:13" x14ac:dyDescent="0.3">
      <c r="A992" s="124" t="s">
        <v>547</v>
      </c>
      <c r="B992" s="146" t="s">
        <v>641</v>
      </c>
      <c r="C992" s="146" t="s">
        <v>1057</v>
      </c>
      <c r="D992" s="124" t="s">
        <v>1055</v>
      </c>
      <c r="E992" s="146">
        <v>10.514705882352942</v>
      </c>
      <c r="F992" s="124">
        <v>11.506769374416432</v>
      </c>
      <c r="G992" s="124">
        <v>93.75</v>
      </c>
      <c r="H992" s="124">
        <v>93.75</v>
      </c>
      <c r="I992" s="124">
        <v>83.235294117647058</v>
      </c>
      <c r="J992" s="124">
        <v>105.25676937441644</v>
      </c>
      <c r="K992" s="445">
        <f t="shared" si="33"/>
        <v>-6.25</v>
      </c>
      <c r="L992" s="445">
        <f t="shared" si="34"/>
        <v>-16.764705882352942</v>
      </c>
      <c r="M992" s="445">
        <f t="shared" si="35"/>
        <v>5.2567693744164359</v>
      </c>
    </row>
    <row r="993" spans="1:13" x14ac:dyDescent="0.3">
      <c r="A993" s="124" t="s">
        <v>547</v>
      </c>
      <c r="B993" s="124" t="s">
        <v>643</v>
      </c>
      <c r="C993" s="124" t="s">
        <v>1052</v>
      </c>
      <c r="D993" s="124" t="s">
        <v>1053</v>
      </c>
      <c r="E993" s="124">
        <v>21.387987012987011</v>
      </c>
      <c r="F993" s="124">
        <v>21.103896103896105</v>
      </c>
      <c r="G993" s="124">
        <v>57.25</v>
      </c>
      <c r="H993" s="124">
        <v>57.25</v>
      </c>
      <c r="I993" s="124">
        <v>35.862012987012989</v>
      </c>
      <c r="J993" s="124">
        <v>78.353896103896105</v>
      </c>
      <c r="K993" s="445">
        <f t="shared" si="33"/>
        <v>-42.75</v>
      </c>
      <c r="L993" s="445">
        <f t="shared" si="34"/>
        <v>-64.137987012987011</v>
      </c>
      <c r="M993" s="445">
        <f t="shared" si="35"/>
        <v>-21.646103896103895</v>
      </c>
    </row>
    <row r="994" spans="1:13" x14ac:dyDescent="0.3">
      <c r="A994" s="124" t="s">
        <v>547</v>
      </c>
      <c r="B994" s="124" t="s">
        <v>643</v>
      </c>
      <c r="C994" s="124" t="s">
        <v>1056</v>
      </c>
      <c r="D994" s="124" t="s">
        <v>1053</v>
      </c>
      <c r="E994" s="124">
        <v>15.121212121212121</v>
      </c>
      <c r="F994" s="124">
        <v>18.61489898989899</v>
      </c>
      <c r="G994" s="124">
        <v>91.875</v>
      </c>
      <c r="H994" s="124">
        <v>91.875</v>
      </c>
      <c r="I994" s="124">
        <v>76.753787878787875</v>
      </c>
      <c r="J994" s="124">
        <v>110.48989898989899</v>
      </c>
      <c r="K994" s="445">
        <f t="shared" si="33"/>
        <v>-8.125</v>
      </c>
      <c r="L994" s="445">
        <f t="shared" si="34"/>
        <v>-23.246212121212125</v>
      </c>
      <c r="M994" s="445">
        <f t="shared" si="35"/>
        <v>10.48989898989899</v>
      </c>
    </row>
    <row r="995" spans="1:13" x14ac:dyDescent="0.3">
      <c r="A995" s="124" t="s">
        <v>547</v>
      </c>
      <c r="B995" s="146" t="s">
        <v>643</v>
      </c>
      <c r="C995" s="146" t="s">
        <v>1057</v>
      </c>
      <c r="D995" s="124" t="s">
        <v>1053</v>
      </c>
      <c r="E995" s="124">
        <v>0</v>
      </c>
      <c r="F995" s="124">
        <v>0</v>
      </c>
      <c r="G995" s="124">
        <v>100</v>
      </c>
      <c r="H995" s="124">
        <v>100</v>
      </c>
      <c r="I995" s="124">
        <v>100</v>
      </c>
      <c r="J995" s="124">
        <v>100</v>
      </c>
      <c r="K995" s="445">
        <f t="shared" si="33"/>
        <v>0</v>
      </c>
      <c r="L995" s="445">
        <f t="shared" si="34"/>
        <v>0</v>
      </c>
      <c r="M995" s="445">
        <f t="shared" si="35"/>
        <v>0</v>
      </c>
    </row>
    <row r="996" spans="1:13" x14ac:dyDescent="0.3">
      <c r="A996" s="124" t="s">
        <v>547</v>
      </c>
      <c r="B996" s="146" t="s">
        <v>643</v>
      </c>
      <c r="C996" s="124" t="s">
        <v>1052</v>
      </c>
      <c r="D996" s="146" t="s">
        <v>1054</v>
      </c>
      <c r="E996" s="124">
        <v>21.041666666666664</v>
      </c>
      <c r="F996" s="124">
        <v>18.392857142857142</v>
      </c>
      <c r="G996" s="124">
        <v>45</v>
      </c>
      <c r="H996" s="124">
        <v>45</v>
      </c>
      <c r="I996" s="124">
        <v>23.958333333333336</v>
      </c>
      <c r="J996" s="124">
        <v>63.392857142857139</v>
      </c>
      <c r="K996" s="445">
        <f t="shared" si="33"/>
        <v>-55</v>
      </c>
      <c r="L996" s="445">
        <f t="shared" si="34"/>
        <v>-76.041666666666657</v>
      </c>
      <c r="M996" s="445">
        <f t="shared" si="35"/>
        <v>-36.607142857142861</v>
      </c>
    </row>
    <row r="997" spans="1:13" x14ac:dyDescent="0.3">
      <c r="A997" s="124" t="s">
        <v>547</v>
      </c>
      <c r="B997" s="124" t="s">
        <v>643</v>
      </c>
      <c r="C997" s="124" t="s">
        <v>1056</v>
      </c>
      <c r="D997" s="124" t="s">
        <v>1054</v>
      </c>
      <c r="E997" s="124">
        <v>13.141806722689076</v>
      </c>
      <c r="F997" s="124">
        <v>13.741946778711483</v>
      </c>
      <c r="G997" s="124">
        <v>82.875</v>
      </c>
      <c r="H997" s="124">
        <v>82.875</v>
      </c>
      <c r="I997" s="124">
        <v>69.733193277310932</v>
      </c>
      <c r="J997" s="124">
        <v>96.61694677871148</v>
      </c>
      <c r="K997" s="445">
        <f t="shared" si="33"/>
        <v>-17.125</v>
      </c>
      <c r="L997" s="445">
        <f t="shared" si="34"/>
        <v>-30.266806722689068</v>
      </c>
      <c r="M997" s="445">
        <f t="shared" si="35"/>
        <v>-3.3830532212885203</v>
      </c>
    </row>
    <row r="998" spans="1:13" x14ac:dyDescent="0.3">
      <c r="A998" s="124" t="s">
        <v>547</v>
      </c>
      <c r="B998" s="124" t="s">
        <v>643</v>
      </c>
      <c r="C998" s="124" t="s">
        <v>1057</v>
      </c>
      <c r="D998" s="124" t="s">
        <v>1054</v>
      </c>
      <c r="E998" s="124">
        <v>4.9910130718954253</v>
      </c>
      <c r="F998" s="124">
        <v>4.8619281045751634</v>
      </c>
      <c r="G998" s="124">
        <v>98.5</v>
      </c>
      <c r="H998" s="124">
        <v>98.5</v>
      </c>
      <c r="I998" s="124">
        <v>93.508986928104576</v>
      </c>
      <c r="J998" s="124">
        <v>103.36192810457516</v>
      </c>
      <c r="K998" s="445">
        <f t="shared" si="33"/>
        <v>-1.5</v>
      </c>
      <c r="L998" s="445">
        <f t="shared" si="34"/>
        <v>-6.4910130718954235</v>
      </c>
      <c r="M998" s="445">
        <f t="shared" si="35"/>
        <v>3.3619281045751563</v>
      </c>
    </row>
    <row r="999" spans="1:13" x14ac:dyDescent="0.3">
      <c r="A999" s="124" t="s">
        <v>547</v>
      </c>
      <c r="B999" s="124" t="s">
        <v>643</v>
      </c>
      <c r="C999" s="124" t="s">
        <v>1052</v>
      </c>
      <c r="D999" s="124" t="s">
        <v>1055</v>
      </c>
      <c r="E999" s="124">
        <v>20.321428571428569</v>
      </c>
      <c r="F999" s="124">
        <v>20.791666666666664</v>
      </c>
      <c r="G999" s="124">
        <v>60.625</v>
      </c>
      <c r="H999" s="124">
        <v>60.625</v>
      </c>
      <c r="I999" s="124">
        <v>40.303571428571431</v>
      </c>
      <c r="J999" s="124">
        <v>81.416666666666657</v>
      </c>
      <c r="K999" s="445">
        <f t="shared" si="33"/>
        <v>-39.375</v>
      </c>
      <c r="L999" s="445">
        <f t="shared" si="34"/>
        <v>-59.696428571428569</v>
      </c>
      <c r="M999" s="445">
        <f t="shared" si="35"/>
        <v>-18.583333333333343</v>
      </c>
    </row>
    <row r="1000" spans="1:13" x14ac:dyDescent="0.3">
      <c r="A1000" s="124" t="s">
        <v>547</v>
      </c>
      <c r="B1000" s="146" t="s">
        <v>643</v>
      </c>
      <c r="C1000" s="146" t="s">
        <v>1056</v>
      </c>
      <c r="D1000" s="124" t="s">
        <v>1055</v>
      </c>
      <c r="E1000" s="146">
        <v>18.193277310924369</v>
      </c>
      <c r="F1000" s="124">
        <v>15.031512605042018</v>
      </c>
      <c r="G1000" s="124">
        <v>85</v>
      </c>
      <c r="H1000" s="124">
        <v>85</v>
      </c>
      <c r="I1000" s="124">
        <v>66.806722689075627</v>
      </c>
      <c r="J1000" s="124">
        <v>100.03151260504202</v>
      </c>
      <c r="K1000" s="445">
        <f t="shared" si="33"/>
        <v>-15</v>
      </c>
      <c r="L1000" s="445">
        <f t="shared" si="34"/>
        <v>-33.193277310924373</v>
      </c>
      <c r="M1000" s="445">
        <f t="shared" si="35"/>
        <v>3.1512605042024688E-2</v>
      </c>
    </row>
    <row r="1001" spans="1:13" x14ac:dyDescent="0.3">
      <c r="A1001" s="124" t="s">
        <v>547</v>
      </c>
      <c r="B1001" s="146" t="s">
        <v>643</v>
      </c>
      <c r="C1001" s="146" t="s">
        <v>1057</v>
      </c>
      <c r="D1001" s="124" t="s">
        <v>1055</v>
      </c>
      <c r="E1001" s="146">
        <v>12.387928248222364</v>
      </c>
      <c r="F1001" s="124">
        <v>12.629444085326437</v>
      </c>
      <c r="G1001" s="124">
        <v>91.625</v>
      </c>
      <c r="H1001" s="124">
        <v>91.625</v>
      </c>
      <c r="I1001" s="124">
        <v>79.237071751777634</v>
      </c>
      <c r="J1001" s="124">
        <v>104.25444408532644</v>
      </c>
      <c r="K1001" s="445">
        <f t="shared" si="33"/>
        <v>-8.375</v>
      </c>
      <c r="L1001" s="445">
        <f t="shared" si="34"/>
        <v>-20.762928248222366</v>
      </c>
      <c r="M1001" s="445">
        <f t="shared" si="35"/>
        <v>4.2544440853264405</v>
      </c>
    </row>
    <row r="1002" spans="1:13" x14ac:dyDescent="0.3">
      <c r="A1002" s="124" t="s">
        <v>547</v>
      </c>
      <c r="B1002" s="124" t="s">
        <v>645</v>
      </c>
      <c r="C1002" s="124" t="s">
        <v>1052</v>
      </c>
      <c r="D1002" s="124" t="s">
        <v>1053</v>
      </c>
      <c r="E1002" s="124">
        <v>15.879329004329003</v>
      </c>
      <c r="F1002" s="124">
        <v>31.48268398268398</v>
      </c>
      <c r="G1002" s="124">
        <v>48.125</v>
      </c>
      <c r="H1002" s="124">
        <v>48.125</v>
      </c>
      <c r="I1002" s="124">
        <v>32.245670995670999</v>
      </c>
      <c r="J1002" s="124">
        <v>79.60768398268398</v>
      </c>
      <c r="K1002" s="445">
        <f t="shared" si="33"/>
        <v>-51.875</v>
      </c>
      <c r="L1002" s="445">
        <f t="shared" si="34"/>
        <v>-67.754329004329009</v>
      </c>
      <c r="M1002" s="445">
        <f t="shared" si="35"/>
        <v>-20.39231601731602</v>
      </c>
    </row>
    <row r="1003" spans="1:13" x14ac:dyDescent="0.3">
      <c r="A1003" s="124" t="s">
        <v>547</v>
      </c>
      <c r="B1003" s="124" t="s">
        <v>645</v>
      </c>
      <c r="C1003" s="124" t="s">
        <v>1056</v>
      </c>
      <c r="D1003" s="124" t="s">
        <v>1053</v>
      </c>
      <c r="E1003" s="124">
        <v>9.9785353535353529</v>
      </c>
      <c r="F1003" s="124">
        <v>18.877525252525253</v>
      </c>
      <c r="G1003" s="124">
        <v>90</v>
      </c>
      <c r="H1003" s="124">
        <v>90</v>
      </c>
      <c r="I1003" s="124">
        <v>80.021464646464651</v>
      </c>
      <c r="J1003" s="124">
        <v>108.87752525252526</v>
      </c>
      <c r="K1003" s="445">
        <f t="shared" si="33"/>
        <v>-10</v>
      </c>
      <c r="L1003" s="445">
        <f t="shared" si="34"/>
        <v>-19.978535353535349</v>
      </c>
      <c r="M1003" s="445">
        <f t="shared" si="35"/>
        <v>8.8775252525252597</v>
      </c>
    </row>
    <row r="1004" spans="1:13" x14ac:dyDescent="0.3">
      <c r="A1004" s="124" t="s">
        <v>547</v>
      </c>
      <c r="B1004" s="146" t="s">
        <v>645</v>
      </c>
      <c r="C1004" s="146" t="s">
        <v>1057</v>
      </c>
      <c r="D1004" s="124" t="s">
        <v>1053</v>
      </c>
      <c r="E1004" s="124">
        <v>0</v>
      </c>
      <c r="F1004" s="124">
        <v>0</v>
      </c>
      <c r="G1004" s="124">
        <v>100</v>
      </c>
      <c r="H1004" s="124">
        <v>100</v>
      </c>
      <c r="I1004" s="124">
        <v>100</v>
      </c>
      <c r="J1004" s="124">
        <v>100</v>
      </c>
      <c r="K1004" s="445">
        <f t="shared" si="33"/>
        <v>0</v>
      </c>
      <c r="L1004" s="445">
        <f t="shared" si="34"/>
        <v>0</v>
      </c>
      <c r="M1004" s="445">
        <f t="shared" si="35"/>
        <v>0</v>
      </c>
    </row>
    <row r="1005" spans="1:13" x14ac:dyDescent="0.3">
      <c r="A1005" s="124" t="s">
        <v>547</v>
      </c>
      <c r="B1005" s="146" t="s">
        <v>645</v>
      </c>
      <c r="C1005" s="124" t="s">
        <v>1052</v>
      </c>
      <c r="D1005" s="146" t="s">
        <v>1054</v>
      </c>
      <c r="E1005" s="124">
        <v>19.999999999999996</v>
      </c>
      <c r="F1005" s="124">
        <v>23.303571428571427</v>
      </c>
      <c r="G1005" s="124">
        <v>41.25</v>
      </c>
      <c r="H1005" s="124">
        <v>41.25</v>
      </c>
      <c r="I1005" s="124">
        <v>21.250000000000004</v>
      </c>
      <c r="J1005" s="124">
        <v>64.553571428571431</v>
      </c>
      <c r="K1005" s="445">
        <f t="shared" si="33"/>
        <v>-58.75</v>
      </c>
      <c r="L1005" s="445">
        <f t="shared" si="34"/>
        <v>-78.75</v>
      </c>
      <c r="M1005" s="445">
        <f t="shared" si="35"/>
        <v>-35.446428571428569</v>
      </c>
    </row>
    <row r="1006" spans="1:13" x14ac:dyDescent="0.3">
      <c r="A1006" s="124" t="s">
        <v>547</v>
      </c>
      <c r="B1006" s="124" t="s">
        <v>645</v>
      </c>
      <c r="C1006" s="124" t="s">
        <v>1056</v>
      </c>
      <c r="D1006" s="124" t="s">
        <v>1054</v>
      </c>
      <c r="E1006" s="124">
        <v>12.9187675070028</v>
      </c>
      <c r="F1006" s="124">
        <v>12.881652661064425</v>
      </c>
      <c r="G1006" s="124">
        <v>83.75</v>
      </c>
      <c r="H1006" s="124">
        <v>83.75</v>
      </c>
      <c r="I1006" s="124">
        <v>70.831232492997202</v>
      </c>
      <c r="J1006" s="124">
        <v>96.631652661064422</v>
      </c>
      <c r="K1006" s="445">
        <f t="shared" si="33"/>
        <v>-16.25</v>
      </c>
      <c r="L1006" s="445">
        <f t="shared" si="34"/>
        <v>-29.168767507002798</v>
      </c>
      <c r="M1006" s="445">
        <f t="shared" si="35"/>
        <v>-3.3683473389355783</v>
      </c>
    </row>
    <row r="1007" spans="1:13" x14ac:dyDescent="0.3">
      <c r="A1007" s="124" t="s">
        <v>547</v>
      </c>
      <c r="B1007" s="124" t="s">
        <v>645</v>
      </c>
      <c r="C1007" s="124" t="s">
        <v>1057</v>
      </c>
      <c r="D1007" s="124" t="s">
        <v>1054</v>
      </c>
      <c r="E1007" s="124">
        <v>4.9910130718954253</v>
      </c>
      <c r="F1007" s="124">
        <v>4.8619281045751634</v>
      </c>
      <c r="G1007" s="124">
        <v>98.5</v>
      </c>
      <c r="H1007" s="124">
        <v>98.5</v>
      </c>
      <c r="I1007" s="124">
        <v>93.508986928104576</v>
      </c>
      <c r="J1007" s="124">
        <v>103.36192810457516</v>
      </c>
      <c r="K1007" s="445">
        <f t="shared" si="33"/>
        <v>-1.5</v>
      </c>
      <c r="L1007" s="445">
        <f t="shared" si="34"/>
        <v>-6.4910130718954235</v>
      </c>
      <c r="M1007" s="445">
        <f t="shared" si="35"/>
        <v>3.3619281045751563</v>
      </c>
    </row>
    <row r="1008" spans="1:13" x14ac:dyDescent="0.3">
      <c r="A1008" s="124" t="s">
        <v>547</v>
      </c>
      <c r="B1008" s="124" t="s">
        <v>645</v>
      </c>
      <c r="C1008" s="124" t="s">
        <v>1052</v>
      </c>
      <c r="D1008" s="124" t="s">
        <v>1055</v>
      </c>
      <c r="E1008" s="124">
        <v>22.017857142857139</v>
      </c>
      <c r="F1008" s="124">
        <v>21.208333333333332</v>
      </c>
      <c r="G1008" s="124">
        <v>63.75</v>
      </c>
      <c r="H1008" s="124">
        <v>63.75</v>
      </c>
      <c r="I1008" s="124">
        <v>41.732142857142861</v>
      </c>
      <c r="J1008" s="124">
        <v>84.958333333333329</v>
      </c>
      <c r="K1008" s="445">
        <f t="shared" si="33"/>
        <v>-36.25</v>
      </c>
      <c r="L1008" s="445">
        <f t="shared" si="34"/>
        <v>-58.267857142857139</v>
      </c>
      <c r="M1008" s="445">
        <f t="shared" si="35"/>
        <v>-15.041666666666671</v>
      </c>
    </row>
    <row r="1009" spans="1:13" x14ac:dyDescent="0.3">
      <c r="A1009" s="124" t="s">
        <v>547</v>
      </c>
      <c r="B1009" s="146" t="s">
        <v>645</v>
      </c>
      <c r="C1009" s="146" t="s">
        <v>1056</v>
      </c>
      <c r="D1009" s="146" t="s">
        <v>1055</v>
      </c>
      <c r="E1009" s="146">
        <v>17.874919198448605</v>
      </c>
      <c r="F1009" s="146">
        <v>14.729314802844215</v>
      </c>
      <c r="G1009" s="146">
        <v>87.5</v>
      </c>
      <c r="H1009" s="146">
        <v>87.5</v>
      </c>
      <c r="I1009" s="146">
        <v>69.625080801551391</v>
      </c>
      <c r="J1009" s="146">
        <v>102.22931480284421</v>
      </c>
      <c r="K1009" s="445">
        <f t="shared" si="33"/>
        <v>-12.5</v>
      </c>
      <c r="L1009" s="445">
        <f t="shared" si="34"/>
        <v>-30.374919198448609</v>
      </c>
      <c r="M1009" s="445">
        <f t="shared" si="35"/>
        <v>2.2293148028442147</v>
      </c>
    </row>
    <row r="1010" spans="1:13" x14ac:dyDescent="0.3">
      <c r="A1010" s="124" t="s">
        <v>547</v>
      </c>
      <c r="B1010" s="146" t="s">
        <v>645</v>
      </c>
      <c r="C1010" s="146" t="s">
        <v>1057</v>
      </c>
      <c r="D1010" s="124" t="s">
        <v>1055</v>
      </c>
      <c r="E1010" s="146">
        <v>13.490896358543417</v>
      </c>
      <c r="F1010" s="124">
        <v>12.375700280112044</v>
      </c>
      <c r="G1010" s="124">
        <v>93.125</v>
      </c>
      <c r="H1010" s="124">
        <v>93.125</v>
      </c>
      <c r="I1010" s="124">
        <v>79.634103641456591</v>
      </c>
      <c r="J1010" s="124">
        <v>105.50070028011204</v>
      </c>
      <c r="K1010" s="445">
        <f t="shared" si="33"/>
        <v>-6.875</v>
      </c>
      <c r="L1010" s="445">
        <f t="shared" si="34"/>
        <v>-20.365896358543409</v>
      </c>
      <c r="M1010" s="445">
        <f t="shared" si="35"/>
        <v>5.5007002801120422</v>
      </c>
    </row>
    <row r="1011" spans="1:13" x14ac:dyDescent="0.3">
      <c r="A1011" s="124" t="s">
        <v>547</v>
      </c>
      <c r="B1011" s="146" t="s">
        <v>1078</v>
      </c>
      <c r="C1011" s="146" t="s">
        <v>1052</v>
      </c>
      <c r="D1011" s="146" t="s">
        <v>1053</v>
      </c>
      <c r="E1011" s="146">
        <v>12.731092436974791</v>
      </c>
      <c r="F1011" s="146">
        <v>17.016806722689076</v>
      </c>
      <c r="G1011" s="146">
        <v>30</v>
      </c>
      <c r="H1011" s="146">
        <v>30</v>
      </c>
      <c r="I1011" s="146">
        <v>17.268907563025209</v>
      </c>
      <c r="J1011" s="146">
        <v>47.016806722689076</v>
      </c>
      <c r="K1011" s="445">
        <f t="shared" si="33"/>
        <v>-70</v>
      </c>
      <c r="L1011" s="445">
        <f t="shared" si="34"/>
        <v>-82.731092436974791</v>
      </c>
      <c r="M1011" s="445">
        <f t="shared" si="35"/>
        <v>-52.983193277310924</v>
      </c>
    </row>
    <row r="1012" spans="1:13" x14ac:dyDescent="0.3">
      <c r="A1012" s="124" t="s">
        <v>547</v>
      </c>
      <c r="B1012" s="124" t="s">
        <v>1078</v>
      </c>
      <c r="C1012" s="124" t="s">
        <v>1056</v>
      </c>
      <c r="D1012" s="124" t="s">
        <v>1053</v>
      </c>
      <c r="E1012" s="124">
        <v>13.612111511271175</v>
      </c>
      <c r="F1012" s="124">
        <v>18.510070694944641</v>
      </c>
      <c r="G1012" s="124">
        <v>67.857142857142861</v>
      </c>
      <c r="H1012" s="124">
        <v>67.857142857142861</v>
      </c>
      <c r="I1012" s="124">
        <v>54.245031345871688</v>
      </c>
      <c r="J1012" s="124">
        <v>86.367213552087506</v>
      </c>
      <c r="K1012" s="445">
        <f t="shared" si="33"/>
        <v>-32.142857142857139</v>
      </c>
      <c r="L1012" s="445">
        <f t="shared" si="34"/>
        <v>-45.754968654128312</v>
      </c>
      <c r="M1012" s="445">
        <f t="shared" si="35"/>
        <v>-13.632786447912494</v>
      </c>
    </row>
    <row r="1013" spans="1:13" x14ac:dyDescent="0.3">
      <c r="A1013" s="124" t="s">
        <v>547</v>
      </c>
      <c r="B1013" s="146" t="s">
        <v>1078</v>
      </c>
      <c r="C1013" s="146" t="s">
        <v>1057</v>
      </c>
      <c r="D1013" s="146" t="s">
        <v>1053</v>
      </c>
      <c r="E1013" s="146">
        <v>0</v>
      </c>
      <c r="F1013" s="146">
        <v>0</v>
      </c>
      <c r="G1013" s="146">
        <v>100</v>
      </c>
      <c r="H1013" s="146">
        <v>100</v>
      </c>
      <c r="I1013" s="146">
        <v>100</v>
      </c>
      <c r="J1013" s="146">
        <v>100</v>
      </c>
      <c r="K1013" s="445">
        <f t="shared" si="33"/>
        <v>0</v>
      </c>
      <c r="L1013" s="445">
        <f t="shared" si="34"/>
        <v>0</v>
      </c>
      <c r="M1013" s="445">
        <f t="shared" si="35"/>
        <v>0</v>
      </c>
    </row>
    <row r="1014" spans="1:13" x14ac:dyDescent="0.3">
      <c r="A1014" s="124" t="s">
        <v>547</v>
      </c>
      <c r="B1014" s="146" t="s">
        <v>1078</v>
      </c>
      <c r="C1014" s="124" t="s">
        <v>1052</v>
      </c>
      <c r="D1014" s="124" t="s">
        <v>1054</v>
      </c>
      <c r="E1014" s="124">
        <v>14.285714285714286</v>
      </c>
      <c r="F1014" s="124">
        <v>18.571428571428573</v>
      </c>
      <c r="G1014" s="124">
        <v>30</v>
      </c>
      <c r="H1014" s="124">
        <v>30</v>
      </c>
      <c r="I1014" s="124">
        <v>15.714285714285714</v>
      </c>
      <c r="J1014" s="124">
        <v>48.571428571428569</v>
      </c>
      <c r="K1014" s="445">
        <f t="shared" si="33"/>
        <v>-70</v>
      </c>
      <c r="L1014" s="445">
        <f t="shared" si="34"/>
        <v>-84.285714285714292</v>
      </c>
      <c r="M1014" s="445">
        <f t="shared" si="35"/>
        <v>-51.428571428571431</v>
      </c>
    </row>
    <row r="1015" spans="1:13" x14ac:dyDescent="0.3">
      <c r="A1015" s="124" t="s">
        <v>547</v>
      </c>
      <c r="B1015" s="124" t="s">
        <v>1078</v>
      </c>
      <c r="C1015" s="124" t="s">
        <v>1056</v>
      </c>
      <c r="D1015" s="124" t="s">
        <v>1054</v>
      </c>
      <c r="E1015" s="124">
        <v>15.805922368947579</v>
      </c>
      <c r="F1015" s="124">
        <v>21.084833933573432</v>
      </c>
      <c r="G1015" s="124">
        <v>66</v>
      </c>
      <c r="H1015" s="124">
        <v>66</v>
      </c>
      <c r="I1015" s="124">
        <v>50.194077631052423</v>
      </c>
      <c r="J1015" s="124">
        <v>87.084833933573435</v>
      </c>
      <c r="K1015" s="445">
        <f t="shared" si="33"/>
        <v>-34</v>
      </c>
      <c r="L1015" s="445">
        <f t="shared" si="34"/>
        <v>-49.805922368947577</v>
      </c>
      <c r="M1015" s="445">
        <f t="shared" si="35"/>
        <v>-12.915166066426565</v>
      </c>
    </row>
    <row r="1016" spans="1:13" x14ac:dyDescent="0.3">
      <c r="A1016" s="124" t="s">
        <v>547</v>
      </c>
      <c r="B1016" s="124" t="s">
        <v>1078</v>
      </c>
      <c r="C1016" s="124" t="s">
        <v>1057</v>
      </c>
      <c r="D1016" s="124" t="s">
        <v>1054</v>
      </c>
      <c r="E1016" s="124">
        <v>7.7936507936507935</v>
      </c>
      <c r="F1016" s="124">
        <v>5.0317460317460316</v>
      </c>
      <c r="G1016" s="124">
        <v>98.857142857142861</v>
      </c>
      <c r="H1016" s="124">
        <v>98.857142857142861</v>
      </c>
      <c r="I1016" s="124">
        <v>91.063492063492063</v>
      </c>
      <c r="J1016" s="124">
        <v>103.88888888888889</v>
      </c>
      <c r="K1016" s="445">
        <f t="shared" si="33"/>
        <v>-1.1428571428571388</v>
      </c>
      <c r="L1016" s="445">
        <f t="shared" si="34"/>
        <v>-8.9365079365079367</v>
      </c>
      <c r="M1016" s="445">
        <f t="shared" si="35"/>
        <v>3.8888888888888857</v>
      </c>
    </row>
    <row r="1017" spans="1:13" x14ac:dyDescent="0.3">
      <c r="A1017" s="124" t="s">
        <v>547</v>
      </c>
      <c r="B1017" s="124" t="s">
        <v>1078</v>
      </c>
      <c r="C1017" s="124" t="s">
        <v>1052</v>
      </c>
      <c r="D1017" s="124" t="s">
        <v>1055</v>
      </c>
      <c r="E1017" s="124">
        <v>24.736054421768706</v>
      </c>
      <c r="F1017" s="124">
        <v>21.522448979591836</v>
      </c>
      <c r="G1017" s="124">
        <v>49.714285714285715</v>
      </c>
      <c r="H1017" s="124">
        <v>49.714285714285715</v>
      </c>
      <c r="I1017" s="124">
        <v>24.978231292517009</v>
      </c>
      <c r="J1017" s="124">
        <v>71.236734693877551</v>
      </c>
      <c r="K1017" s="445">
        <f t="shared" si="33"/>
        <v>-50.285714285714285</v>
      </c>
      <c r="L1017" s="445">
        <f t="shared" si="34"/>
        <v>-75.021768707482991</v>
      </c>
      <c r="M1017" s="445">
        <f t="shared" si="35"/>
        <v>-28.763265306122449</v>
      </c>
    </row>
    <row r="1018" spans="1:13" x14ac:dyDescent="0.3">
      <c r="A1018" s="124" t="s">
        <v>547</v>
      </c>
      <c r="B1018" s="146" t="s">
        <v>1078</v>
      </c>
      <c r="C1018" s="146" t="s">
        <v>1056</v>
      </c>
      <c r="D1018" s="124" t="s">
        <v>1055</v>
      </c>
      <c r="E1018" s="146">
        <v>30.502280912364945</v>
      </c>
      <c r="F1018" s="124">
        <v>23.213205282112845</v>
      </c>
      <c r="G1018" s="124">
        <v>84.857142857142861</v>
      </c>
      <c r="H1018" s="124">
        <v>84.857142857142861</v>
      </c>
      <c r="I1018" s="124">
        <v>54.354861944777916</v>
      </c>
      <c r="J1018" s="124">
        <v>108.07034813925571</v>
      </c>
      <c r="K1018" s="445">
        <f t="shared" si="33"/>
        <v>-15.142857142857139</v>
      </c>
      <c r="L1018" s="445">
        <f t="shared" si="34"/>
        <v>-45.645138055222084</v>
      </c>
      <c r="M1018" s="445">
        <f t="shared" si="35"/>
        <v>8.0703481392557137</v>
      </c>
    </row>
    <row r="1019" spans="1:13" x14ac:dyDescent="0.3">
      <c r="A1019" s="124" t="s">
        <v>547</v>
      </c>
      <c r="B1019" s="146" t="s">
        <v>1078</v>
      </c>
      <c r="C1019" s="146" t="s">
        <v>1057</v>
      </c>
      <c r="D1019" s="124" t="s">
        <v>1055</v>
      </c>
      <c r="E1019" s="146">
        <v>13.277551020408163</v>
      </c>
      <c r="F1019" s="124">
        <v>9.3242630385487519</v>
      </c>
      <c r="G1019" s="124">
        <v>93.571428571428569</v>
      </c>
      <c r="H1019" s="124">
        <v>93.571428571428569</v>
      </c>
      <c r="I1019" s="124">
        <v>80.293877551020401</v>
      </c>
      <c r="J1019" s="124">
        <v>102.89569160997732</v>
      </c>
      <c r="K1019" s="445">
        <f t="shared" si="33"/>
        <v>-6.4285714285714306</v>
      </c>
      <c r="L1019" s="445">
        <f t="shared" si="34"/>
        <v>-19.706122448979599</v>
      </c>
      <c r="M1019" s="445">
        <f t="shared" si="35"/>
        <v>2.8956916099773196</v>
      </c>
    </row>
    <row r="1020" spans="1:13" x14ac:dyDescent="0.3">
      <c r="A1020" s="124" t="s">
        <v>547</v>
      </c>
      <c r="B1020" s="124" t="s">
        <v>648</v>
      </c>
      <c r="C1020" s="124" t="s">
        <v>1052</v>
      </c>
      <c r="D1020" s="124" t="s">
        <v>1053</v>
      </c>
      <c r="E1020" s="124">
        <v>10.762971855408832</v>
      </c>
      <c r="F1020" s="124">
        <v>18.782179538482062</v>
      </c>
      <c r="G1020" s="124">
        <v>34.285714285714285</v>
      </c>
      <c r="H1020" s="124">
        <v>34.285714285714285</v>
      </c>
      <c r="I1020" s="124">
        <v>23.522742430305453</v>
      </c>
      <c r="J1020" s="124">
        <v>53.067893824196346</v>
      </c>
      <c r="K1020" s="445">
        <f t="shared" si="33"/>
        <v>-65.714285714285722</v>
      </c>
      <c r="L1020" s="445">
        <f t="shared" si="34"/>
        <v>-76.477257569694544</v>
      </c>
      <c r="M1020" s="445">
        <f t="shared" si="35"/>
        <v>-46.932106175803654</v>
      </c>
    </row>
    <row r="1021" spans="1:13" x14ac:dyDescent="0.3">
      <c r="A1021" s="124" t="s">
        <v>547</v>
      </c>
      <c r="B1021" s="124" t="s">
        <v>648</v>
      </c>
      <c r="C1021" s="124" t="s">
        <v>1056</v>
      </c>
      <c r="D1021" s="124" t="s">
        <v>1053</v>
      </c>
      <c r="E1021" s="124">
        <v>14.807256235827664</v>
      </c>
      <c r="F1021" s="124">
        <v>13.027210884353739</v>
      </c>
      <c r="G1021" s="124">
        <v>79.285714285714292</v>
      </c>
      <c r="H1021" s="124">
        <v>79.285714285714292</v>
      </c>
      <c r="I1021" s="124">
        <v>64.478458049886626</v>
      </c>
      <c r="J1021" s="124">
        <v>92.312925170068027</v>
      </c>
      <c r="K1021" s="445">
        <f t="shared" si="33"/>
        <v>-20.714285714285708</v>
      </c>
      <c r="L1021" s="445">
        <f t="shared" si="34"/>
        <v>-35.521541950113374</v>
      </c>
      <c r="M1021" s="445">
        <f t="shared" si="35"/>
        <v>-7.6870748299319729</v>
      </c>
    </row>
    <row r="1022" spans="1:13" x14ac:dyDescent="0.3">
      <c r="A1022" s="124" t="s">
        <v>547</v>
      </c>
      <c r="B1022" s="146" t="s">
        <v>648</v>
      </c>
      <c r="C1022" s="146" t="s">
        <v>1057</v>
      </c>
      <c r="D1022" s="146" t="s">
        <v>1053</v>
      </c>
      <c r="E1022" s="146">
        <v>0</v>
      </c>
      <c r="F1022" s="146">
        <v>0</v>
      </c>
      <c r="G1022" s="146">
        <v>100</v>
      </c>
      <c r="H1022" s="146">
        <v>100</v>
      </c>
      <c r="I1022" s="146">
        <v>100</v>
      </c>
      <c r="J1022" s="146">
        <v>100</v>
      </c>
      <c r="K1022" s="445">
        <f t="shared" si="33"/>
        <v>0</v>
      </c>
      <c r="L1022" s="445">
        <f t="shared" si="34"/>
        <v>0</v>
      </c>
      <c r="M1022" s="445">
        <f t="shared" si="35"/>
        <v>0</v>
      </c>
    </row>
    <row r="1023" spans="1:13" x14ac:dyDescent="0.3">
      <c r="A1023" s="124" t="s">
        <v>547</v>
      </c>
      <c r="B1023" s="146" t="s">
        <v>648</v>
      </c>
      <c r="C1023" s="124" t="s">
        <v>1052</v>
      </c>
      <c r="D1023" s="124" t="s">
        <v>1054</v>
      </c>
      <c r="E1023" s="124">
        <v>13.53608109910631</v>
      </c>
      <c r="F1023" s="124">
        <v>18.50873682806456</v>
      </c>
      <c r="G1023" s="124">
        <v>34.285714285714285</v>
      </c>
      <c r="H1023" s="124">
        <v>34.285714285714285</v>
      </c>
      <c r="I1023" s="124">
        <v>20.749633186607973</v>
      </c>
      <c r="J1023" s="124">
        <v>52.794451113778848</v>
      </c>
      <c r="K1023" s="445">
        <f t="shared" ref="K1023:K1086" si="36">0-(100-H1023)</f>
        <v>-65.714285714285722</v>
      </c>
      <c r="L1023" s="445">
        <f t="shared" ref="L1023:L1086" si="37">0-(100-I1023)</f>
        <v>-79.25036681339202</v>
      </c>
      <c r="M1023" s="445">
        <f t="shared" ref="M1023:M1086" si="38">0-(100-J1023)</f>
        <v>-47.205548886221152</v>
      </c>
    </row>
    <row r="1024" spans="1:13" x14ac:dyDescent="0.3">
      <c r="A1024" s="124" t="s">
        <v>547</v>
      </c>
      <c r="B1024" s="124" t="s">
        <v>648</v>
      </c>
      <c r="C1024" s="124" t="s">
        <v>1056</v>
      </c>
      <c r="D1024" s="124" t="s">
        <v>1054</v>
      </c>
      <c r="E1024" s="124">
        <v>15.16860077364279</v>
      </c>
      <c r="F1024" s="124">
        <v>16.148192610377482</v>
      </c>
      <c r="G1024" s="124">
        <v>76.428571428571431</v>
      </c>
      <c r="H1024" s="124">
        <v>76.428571428571431</v>
      </c>
      <c r="I1024" s="124">
        <v>61.259970654928637</v>
      </c>
      <c r="J1024" s="124">
        <v>92.576764038948909</v>
      </c>
      <c r="K1024" s="445">
        <f t="shared" si="36"/>
        <v>-23.571428571428569</v>
      </c>
      <c r="L1024" s="445">
        <f t="shared" si="37"/>
        <v>-38.740029345071363</v>
      </c>
      <c r="M1024" s="445">
        <f t="shared" si="38"/>
        <v>-7.4232359610510912</v>
      </c>
    </row>
    <row r="1025" spans="1:13" x14ac:dyDescent="0.3">
      <c r="A1025" s="124" t="s">
        <v>547</v>
      </c>
      <c r="B1025" s="124" t="s">
        <v>648</v>
      </c>
      <c r="C1025" s="124" t="s">
        <v>1057</v>
      </c>
      <c r="D1025" s="124" t="s">
        <v>1054</v>
      </c>
      <c r="E1025" s="124">
        <v>10.557556355875684</v>
      </c>
      <c r="F1025" s="124">
        <v>7.2288915566226484</v>
      </c>
      <c r="G1025" s="124">
        <v>100</v>
      </c>
      <c r="H1025" s="124">
        <v>100</v>
      </c>
      <c r="I1025" s="124">
        <v>89.44244364412431</v>
      </c>
      <c r="J1025" s="124">
        <v>107.22889155662264</v>
      </c>
      <c r="K1025" s="445">
        <f t="shared" si="36"/>
        <v>0</v>
      </c>
      <c r="L1025" s="445">
        <f t="shared" si="37"/>
        <v>-10.55755635587569</v>
      </c>
      <c r="M1025" s="445">
        <f t="shared" si="38"/>
        <v>7.2288915566226422</v>
      </c>
    </row>
    <row r="1026" spans="1:13" x14ac:dyDescent="0.3">
      <c r="A1026" s="124" t="s">
        <v>547</v>
      </c>
      <c r="B1026" s="124" t="s">
        <v>648</v>
      </c>
      <c r="C1026" s="124" t="s">
        <v>1052</v>
      </c>
      <c r="D1026" s="124" t="s">
        <v>1055</v>
      </c>
      <c r="E1026" s="124">
        <v>33.043884220354805</v>
      </c>
      <c r="F1026" s="124">
        <v>17.394957983193276</v>
      </c>
      <c r="G1026" s="124">
        <v>67.857142857142861</v>
      </c>
      <c r="H1026" s="124">
        <v>67.857142857142861</v>
      </c>
      <c r="I1026" s="124">
        <v>34.813258636788056</v>
      </c>
      <c r="J1026" s="124">
        <v>85.252100840336141</v>
      </c>
      <c r="K1026" s="445">
        <f t="shared" si="36"/>
        <v>-32.142857142857139</v>
      </c>
      <c r="L1026" s="445">
        <f t="shared" si="37"/>
        <v>-65.186741363211951</v>
      </c>
      <c r="M1026" s="445">
        <f t="shared" si="38"/>
        <v>-14.747899159663859</v>
      </c>
    </row>
    <row r="1027" spans="1:13" x14ac:dyDescent="0.3">
      <c r="A1027" s="124" t="s">
        <v>547</v>
      </c>
      <c r="B1027" s="146" t="s">
        <v>648</v>
      </c>
      <c r="C1027" s="146" t="s">
        <v>1056</v>
      </c>
      <c r="D1027" s="146" t="s">
        <v>1055</v>
      </c>
      <c r="E1027" s="146">
        <v>24.277044150993728</v>
      </c>
      <c r="F1027" s="146">
        <v>15.174069627851141</v>
      </c>
      <c r="G1027" s="146">
        <v>95</v>
      </c>
      <c r="H1027" s="146">
        <v>95</v>
      </c>
      <c r="I1027" s="146">
        <v>70.722955849006269</v>
      </c>
      <c r="J1027" s="146">
        <v>110.17406962785114</v>
      </c>
      <c r="K1027" s="445">
        <f t="shared" si="36"/>
        <v>-5</v>
      </c>
      <c r="L1027" s="445">
        <f t="shared" si="37"/>
        <v>-29.277044150993731</v>
      </c>
      <c r="M1027" s="445">
        <f t="shared" si="38"/>
        <v>10.174069627851139</v>
      </c>
    </row>
    <row r="1028" spans="1:13" x14ac:dyDescent="0.3">
      <c r="A1028" s="124" t="s">
        <v>547</v>
      </c>
      <c r="B1028" s="146" t="s">
        <v>648</v>
      </c>
      <c r="C1028" s="146" t="s">
        <v>1057</v>
      </c>
      <c r="D1028" s="124" t="s">
        <v>1055</v>
      </c>
      <c r="E1028" s="146">
        <v>17.222622382286247</v>
      </c>
      <c r="F1028" s="124">
        <v>10.437374949979992</v>
      </c>
      <c r="G1028" s="124">
        <v>98.571428571428569</v>
      </c>
      <c r="H1028" s="124">
        <v>98.571428571428569</v>
      </c>
      <c r="I1028" s="124">
        <v>81.348806189142323</v>
      </c>
      <c r="J1028" s="124">
        <v>109.00880352140857</v>
      </c>
      <c r="K1028" s="445">
        <f t="shared" si="36"/>
        <v>-1.4285714285714306</v>
      </c>
      <c r="L1028" s="445">
        <f t="shared" si="37"/>
        <v>-18.651193810857677</v>
      </c>
      <c r="M1028" s="445">
        <f t="shared" si="38"/>
        <v>9.0088035214085664</v>
      </c>
    </row>
    <row r="1029" spans="1:13" x14ac:dyDescent="0.3">
      <c r="A1029" s="124" t="s">
        <v>547</v>
      </c>
      <c r="B1029" s="124" t="s">
        <v>1079</v>
      </c>
      <c r="C1029" s="124" t="s">
        <v>1052</v>
      </c>
      <c r="D1029" s="124" t="s">
        <v>1053</v>
      </c>
      <c r="E1029" s="124">
        <v>21.582633053221286</v>
      </c>
      <c r="F1029" s="124">
        <v>23.725490196078429</v>
      </c>
      <c r="G1029" s="124">
        <v>50.571428571428569</v>
      </c>
      <c r="H1029" s="124">
        <v>50.571428571428569</v>
      </c>
      <c r="I1029" s="124">
        <v>28.988795518207283</v>
      </c>
      <c r="J1029" s="124">
        <v>74.296918767506995</v>
      </c>
      <c r="K1029" s="445">
        <f t="shared" si="36"/>
        <v>-49.428571428571431</v>
      </c>
      <c r="L1029" s="445">
        <f t="shared" si="37"/>
        <v>-71.011204481792717</v>
      </c>
      <c r="M1029" s="445">
        <f t="shared" si="38"/>
        <v>-25.703081232493005</v>
      </c>
    </row>
    <row r="1030" spans="1:13" x14ac:dyDescent="0.3">
      <c r="A1030" s="124" t="s">
        <v>547</v>
      </c>
      <c r="B1030" s="124" t="s">
        <v>1079</v>
      </c>
      <c r="C1030" s="124" t="s">
        <v>1056</v>
      </c>
      <c r="D1030" s="124" t="s">
        <v>1053</v>
      </c>
      <c r="E1030" s="124">
        <v>14.722394220846232</v>
      </c>
      <c r="F1030" s="124">
        <v>11.033171163202123</v>
      </c>
      <c r="G1030" s="124">
        <v>86.142857142857139</v>
      </c>
      <c r="H1030" s="124">
        <v>86.142857142857139</v>
      </c>
      <c r="I1030" s="124">
        <v>71.420462922010913</v>
      </c>
      <c r="J1030" s="124">
        <v>97.176028306059266</v>
      </c>
      <c r="K1030" s="445">
        <f t="shared" si="36"/>
        <v>-13.857142857142861</v>
      </c>
      <c r="L1030" s="445">
        <f t="shared" si="37"/>
        <v>-28.579537077989087</v>
      </c>
      <c r="M1030" s="445">
        <f t="shared" si="38"/>
        <v>-2.8239716939407344</v>
      </c>
    </row>
    <row r="1031" spans="1:13" x14ac:dyDescent="0.3">
      <c r="A1031" s="124" t="s">
        <v>547</v>
      </c>
      <c r="B1031" s="146" t="s">
        <v>1079</v>
      </c>
      <c r="C1031" s="146" t="s">
        <v>1057</v>
      </c>
      <c r="D1031" s="146" t="s">
        <v>1053</v>
      </c>
      <c r="E1031" s="124">
        <v>0</v>
      </c>
      <c r="F1031" s="124">
        <v>0</v>
      </c>
      <c r="G1031" s="124">
        <v>100</v>
      </c>
      <c r="H1031" s="124">
        <v>100</v>
      </c>
      <c r="I1031" s="124">
        <v>100</v>
      </c>
      <c r="J1031" s="124">
        <v>100</v>
      </c>
      <c r="K1031" s="445">
        <f t="shared" si="36"/>
        <v>0</v>
      </c>
      <c r="L1031" s="445">
        <f t="shared" si="37"/>
        <v>0</v>
      </c>
      <c r="M1031" s="445">
        <f t="shared" si="38"/>
        <v>0</v>
      </c>
    </row>
    <row r="1032" spans="1:13" x14ac:dyDescent="0.3">
      <c r="A1032" s="124" t="s">
        <v>547</v>
      </c>
      <c r="B1032" s="146" t="s">
        <v>1079</v>
      </c>
      <c r="C1032" s="124" t="s">
        <v>1052</v>
      </c>
      <c r="D1032" s="146" t="s">
        <v>1054</v>
      </c>
      <c r="E1032" s="124">
        <v>19.809523809523807</v>
      </c>
      <c r="F1032" s="124">
        <v>16.857142857142858</v>
      </c>
      <c r="G1032" s="124">
        <v>48.857142857142854</v>
      </c>
      <c r="H1032" s="124">
        <v>48.857142857142854</v>
      </c>
      <c r="I1032" s="124">
        <v>29.047619047619047</v>
      </c>
      <c r="J1032" s="124">
        <v>65.714285714285708</v>
      </c>
      <c r="K1032" s="445">
        <f t="shared" si="36"/>
        <v>-51.142857142857146</v>
      </c>
      <c r="L1032" s="445">
        <f t="shared" si="37"/>
        <v>-70.952380952380949</v>
      </c>
      <c r="M1032" s="445">
        <f t="shared" si="38"/>
        <v>-34.285714285714292</v>
      </c>
    </row>
    <row r="1033" spans="1:13" x14ac:dyDescent="0.3">
      <c r="A1033" s="124" t="s">
        <v>547</v>
      </c>
      <c r="B1033" s="124" t="s">
        <v>1079</v>
      </c>
      <c r="C1033" s="124" t="s">
        <v>1056</v>
      </c>
      <c r="D1033" s="124" t="s">
        <v>1054</v>
      </c>
      <c r="E1033" s="124">
        <v>17.516740029345069</v>
      </c>
      <c r="F1033" s="124">
        <v>11.965052687741762</v>
      </c>
      <c r="G1033" s="124">
        <v>84.571428571428569</v>
      </c>
      <c r="H1033" s="124">
        <v>84.571428571428569</v>
      </c>
      <c r="I1033" s="124">
        <v>67.054688542083497</v>
      </c>
      <c r="J1033" s="124">
        <v>96.53648125917033</v>
      </c>
      <c r="K1033" s="445">
        <f t="shared" si="36"/>
        <v>-15.428571428571431</v>
      </c>
      <c r="L1033" s="445">
        <f t="shared" si="37"/>
        <v>-32.945311457916503</v>
      </c>
      <c r="M1033" s="445">
        <f t="shared" si="38"/>
        <v>-3.4635187408296702</v>
      </c>
    </row>
    <row r="1034" spans="1:13" x14ac:dyDescent="0.3">
      <c r="A1034" s="124" t="s">
        <v>547</v>
      </c>
      <c r="B1034" s="124" t="s">
        <v>1079</v>
      </c>
      <c r="C1034" s="124" t="s">
        <v>1057</v>
      </c>
      <c r="D1034" s="124" t="s">
        <v>1054</v>
      </c>
      <c r="E1034" s="124">
        <v>7.2026143790849675</v>
      </c>
      <c r="F1034" s="124">
        <v>3.1895424836601305</v>
      </c>
      <c r="G1034" s="124">
        <v>98.142857142857139</v>
      </c>
      <c r="H1034" s="124">
        <v>98.142857142857139</v>
      </c>
      <c r="I1034" s="124">
        <v>90.940242763772176</v>
      </c>
      <c r="J1034" s="124">
        <v>101.33239962651727</v>
      </c>
      <c r="K1034" s="445">
        <f t="shared" si="36"/>
        <v>-1.8571428571428612</v>
      </c>
      <c r="L1034" s="445">
        <f t="shared" si="37"/>
        <v>-9.0597572362278243</v>
      </c>
      <c r="M1034" s="445">
        <f t="shared" si="38"/>
        <v>1.3323996265172724</v>
      </c>
    </row>
    <row r="1035" spans="1:13" x14ac:dyDescent="0.3">
      <c r="A1035" s="124" t="s">
        <v>547</v>
      </c>
      <c r="B1035" s="124" t="s">
        <v>1079</v>
      </c>
      <c r="C1035" s="124" t="s">
        <v>1052</v>
      </c>
      <c r="D1035" s="124" t="s">
        <v>1055</v>
      </c>
      <c r="E1035" s="124">
        <v>17.564625850340136</v>
      </c>
      <c r="F1035" s="124">
        <v>24.006802721088434</v>
      </c>
      <c r="G1035" s="124">
        <v>62.857142857142854</v>
      </c>
      <c r="H1035" s="124">
        <v>62.857142857142854</v>
      </c>
      <c r="I1035" s="124">
        <v>45.292517006802719</v>
      </c>
      <c r="J1035" s="124">
        <v>86.863945578231295</v>
      </c>
      <c r="K1035" s="445">
        <f t="shared" si="36"/>
        <v>-37.142857142857146</v>
      </c>
      <c r="L1035" s="445">
        <f t="shared" si="37"/>
        <v>-54.707482993197281</v>
      </c>
      <c r="M1035" s="445">
        <f t="shared" si="38"/>
        <v>-13.136054421768705</v>
      </c>
    </row>
    <row r="1036" spans="1:13" x14ac:dyDescent="0.3">
      <c r="A1036" s="124" t="s">
        <v>547</v>
      </c>
      <c r="B1036" s="146" t="s">
        <v>1079</v>
      </c>
      <c r="C1036" s="146" t="s">
        <v>1056</v>
      </c>
      <c r="D1036" s="124" t="s">
        <v>1055</v>
      </c>
      <c r="E1036" s="146">
        <v>17.132452981192476</v>
      </c>
      <c r="F1036" s="124">
        <v>8.8638121915432837</v>
      </c>
      <c r="G1036" s="124">
        <v>87.142857142857139</v>
      </c>
      <c r="H1036" s="124">
        <v>87.142857142857139</v>
      </c>
      <c r="I1036" s="124">
        <v>70.010404161664667</v>
      </c>
      <c r="J1036" s="124">
        <v>96.006669334400428</v>
      </c>
      <c r="K1036" s="445">
        <f t="shared" si="36"/>
        <v>-12.857142857142861</v>
      </c>
      <c r="L1036" s="445">
        <f t="shared" si="37"/>
        <v>-29.989595838335333</v>
      </c>
      <c r="M1036" s="445">
        <f t="shared" si="38"/>
        <v>-3.9933306655995722</v>
      </c>
    </row>
    <row r="1037" spans="1:13" x14ac:dyDescent="0.3">
      <c r="A1037" s="124" t="s">
        <v>547</v>
      </c>
      <c r="B1037" s="146" t="s">
        <v>1079</v>
      </c>
      <c r="C1037" s="146" t="s">
        <v>1057</v>
      </c>
      <c r="D1037" s="146" t="s">
        <v>1055</v>
      </c>
      <c r="E1037" s="146">
        <v>14.99455782312925</v>
      </c>
      <c r="F1037" s="146">
        <v>7.2435374149659859</v>
      </c>
      <c r="G1037" s="146">
        <v>92.571428571428569</v>
      </c>
      <c r="H1037" s="146">
        <v>92.571428571428569</v>
      </c>
      <c r="I1037" s="146">
        <v>77.576870748299314</v>
      </c>
      <c r="J1037" s="146">
        <v>99.814965986394554</v>
      </c>
      <c r="K1037" s="445">
        <f t="shared" si="36"/>
        <v>-7.4285714285714306</v>
      </c>
      <c r="L1037" s="445">
        <f t="shared" si="37"/>
        <v>-22.423129251700686</v>
      </c>
      <c r="M1037" s="445">
        <f t="shared" si="38"/>
        <v>-0.18503401360544558</v>
      </c>
    </row>
    <row r="1038" spans="1:13" x14ac:dyDescent="0.3">
      <c r="A1038" s="124" t="s">
        <v>547</v>
      </c>
      <c r="B1038" s="124" t="s">
        <v>654</v>
      </c>
      <c r="C1038" s="124" t="s">
        <v>1052</v>
      </c>
      <c r="D1038" s="124" t="s">
        <v>1053</v>
      </c>
      <c r="E1038" s="124">
        <v>14.753901560624248</v>
      </c>
      <c r="F1038" s="124">
        <v>20.954381752701085</v>
      </c>
      <c r="G1038" s="124">
        <v>44.714285714285715</v>
      </c>
      <c r="H1038" s="124">
        <v>44.714285714285715</v>
      </c>
      <c r="I1038" s="124">
        <v>29.960384153661465</v>
      </c>
      <c r="J1038" s="124">
        <v>65.668667466986804</v>
      </c>
      <c r="K1038" s="445">
        <f t="shared" si="36"/>
        <v>-55.285714285714285</v>
      </c>
      <c r="L1038" s="445">
        <f t="shared" si="37"/>
        <v>-70.039615846338535</v>
      </c>
      <c r="M1038" s="445">
        <f t="shared" si="38"/>
        <v>-34.331332533013196</v>
      </c>
    </row>
    <row r="1039" spans="1:13" x14ac:dyDescent="0.3">
      <c r="A1039" s="124" t="s">
        <v>547</v>
      </c>
      <c r="B1039" s="124" t="s">
        <v>654</v>
      </c>
      <c r="C1039" s="124" t="s">
        <v>1056</v>
      </c>
      <c r="D1039" s="124" t="s">
        <v>1053</v>
      </c>
      <c r="E1039" s="124">
        <v>10.43859649122807</v>
      </c>
      <c r="F1039" s="124">
        <v>9.8596491228070171</v>
      </c>
      <c r="G1039" s="124">
        <v>84.285714285714292</v>
      </c>
      <c r="H1039" s="124">
        <v>84.285714285714292</v>
      </c>
      <c r="I1039" s="124">
        <v>73.847117794486223</v>
      </c>
      <c r="J1039" s="124">
        <v>94.145363408521305</v>
      </c>
      <c r="K1039" s="445">
        <f t="shared" si="36"/>
        <v>-15.714285714285708</v>
      </c>
      <c r="L1039" s="445">
        <f t="shared" si="37"/>
        <v>-26.152882205513777</v>
      </c>
      <c r="M1039" s="445">
        <f t="shared" si="38"/>
        <v>-5.8546365914786946</v>
      </c>
    </row>
    <row r="1040" spans="1:13" x14ac:dyDescent="0.3">
      <c r="A1040" s="124" t="s">
        <v>547</v>
      </c>
      <c r="B1040" s="146" t="s">
        <v>654</v>
      </c>
      <c r="C1040" s="146" t="s">
        <v>1057</v>
      </c>
      <c r="D1040" s="146" t="s">
        <v>1053</v>
      </c>
      <c r="E1040" s="124">
        <v>0</v>
      </c>
      <c r="F1040" s="124">
        <v>0</v>
      </c>
      <c r="G1040" s="124">
        <v>100</v>
      </c>
      <c r="H1040" s="124">
        <v>100</v>
      </c>
      <c r="I1040" s="124">
        <v>100</v>
      </c>
      <c r="J1040" s="124">
        <v>100</v>
      </c>
      <c r="K1040" s="445">
        <f t="shared" si="36"/>
        <v>0</v>
      </c>
      <c r="L1040" s="445">
        <f t="shared" si="37"/>
        <v>0</v>
      </c>
      <c r="M1040" s="445">
        <f t="shared" si="38"/>
        <v>0</v>
      </c>
    </row>
    <row r="1041" spans="1:13" s="439" customFormat="1" x14ac:dyDescent="0.3">
      <c r="A1041" s="124" t="s">
        <v>547</v>
      </c>
      <c r="B1041" s="146" t="s">
        <v>654</v>
      </c>
      <c r="C1041" s="124" t="s">
        <v>1052</v>
      </c>
      <c r="D1041" s="124" t="s">
        <v>1054</v>
      </c>
      <c r="E1041" s="124">
        <v>15.855942376950779</v>
      </c>
      <c r="F1041" s="124">
        <v>16.671068427370948</v>
      </c>
      <c r="G1041" s="124">
        <v>42.428571428571431</v>
      </c>
      <c r="H1041" s="124">
        <v>42.428571428571431</v>
      </c>
      <c r="I1041" s="124">
        <v>26.572629051620652</v>
      </c>
      <c r="J1041" s="124">
        <v>59.099639855942378</v>
      </c>
      <c r="K1041" s="445">
        <f t="shared" si="36"/>
        <v>-57.571428571428569</v>
      </c>
      <c r="L1041" s="445">
        <f t="shared" si="37"/>
        <v>-73.427370948379348</v>
      </c>
      <c r="M1041" s="445">
        <f t="shared" si="38"/>
        <v>-40.900360144057622</v>
      </c>
    </row>
    <row r="1042" spans="1:13" s="439" customFormat="1" x14ac:dyDescent="0.3">
      <c r="A1042" s="124" t="s">
        <v>547</v>
      </c>
      <c r="B1042" s="124" t="s">
        <v>654</v>
      </c>
      <c r="C1042" s="124" t="s">
        <v>1056</v>
      </c>
      <c r="D1042" s="124" t="s">
        <v>1054</v>
      </c>
      <c r="E1042" s="124">
        <v>15.637188208616779</v>
      </c>
      <c r="F1042" s="124">
        <v>9.7823129251700696</v>
      </c>
      <c r="G1042" s="124">
        <v>81.428571428571431</v>
      </c>
      <c r="H1042" s="124">
        <v>81.428571428571431</v>
      </c>
      <c r="I1042" s="124">
        <v>65.791383219954653</v>
      </c>
      <c r="J1042" s="124">
        <v>91.210884353741505</v>
      </c>
      <c r="K1042" s="445">
        <f t="shared" si="36"/>
        <v>-18.571428571428569</v>
      </c>
      <c r="L1042" s="445">
        <f t="shared" si="37"/>
        <v>-34.208616780045347</v>
      </c>
      <c r="M1042" s="445">
        <f t="shared" si="38"/>
        <v>-8.7891156462584945</v>
      </c>
    </row>
    <row r="1043" spans="1:13" s="439" customFormat="1" x14ac:dyDescent="0.3">
      <c r="A1043" s="124" t="s">
        <v>547</v>
      </c>
      <c r="B1043" s="124" t="s">
        <v>654</v>
      </c>
      <c r="C1043" s="124" t="s">
        <v>1057</v>
      </c>
      <c r="D1043" s="124" t="s">
        <v>1054</v>
      </c>
      <c r="E1043" s="124">
        <v>8.5697577276524637</v>
      </c>
      <c r="F1043" s="124">
        <v>6.9189640768588134</v>
      </c>
      <c r="G1043" s="124">
        <v>99.857142857142861</v>
      </c>
      <c r="H1043" s="124">
        <v>99.857142857142861</v>
      </c>
      <c r="I1043" s="124">
        <v>91.287385129490403</v>
      </c>
      <c r="J1043" s="124">
        <v>106.77610693400167</v>
      </c>
      <c r="K1043" s="445">
        <f t="shared" si="36"/>
        <v>-0.1428571428571388</v>
      </c>
      <c r="L1043" s="445">
        <f t="shared" si="37"/>
        <v>-8.7126148705095972</v>
      </c>
      <c r="M1043" s="445">
        <f t="shared" si="38"/>
        <v>6.7761069340016746</v>
      </c>
    </row>
    <row r="1044" spans="1:13" s="439" customFormat="1" x14ac:dyDescent="0.3">
      <c r="A1044" s="124" t="s">
        <v>547</v>
      </c>
      <c r="B1044" s="124" t="s">
        <v>654</v>
      </c>
      <c r="C1044" s="124" t="s">
        <v>1052</v>
      </c>
      <c r="D1044" s="124" t="s">
        <v>1055</v>
      </c>
      <c r="E1044" s="124">
        <v>18.32989195678271</v>
      </c>
      <c r="F1044" s="124">
        <v>21.37735094037615</v>
      </c>
      <c r="G1044" s="124">
        <v>61.142857142857146</v>
      </c>
      <c r="H1044" s="124">
        <v>61.142857142857146</v>
      </c>
      <c r="I1044" s="124">
        <v>42.812965186074436</v>
      </c>
      <c r="J1044" s="124">
        <v>82.5202080832333</v>
      </c>
      <c r="K1044" s="445">
        <f t="shared" si="36"/>
        <v>-38.857142857142854</v>
      </c>
      <c r="L1044" s="445">
        <f t="shared" si="37"/>
        <v>-57.187034813925564</v>
      </c>
      <c r="M1044" s="445">
        <f t="shared" si="38"/>
        <v>-17.4797919167667</v>
      </c>
    </row>
    <row r="1045" spans="1:13" s="439" customFormat="1" x14ac:dyDescent="0.3">
      <c r="A1045" s="124" t="s">
        <v>547</v>
      </c>
      <c r="B1045" s="146" t="s">
        <v>654</v>
      </c>
      <c r="C1045" s="146" t="s">
        <v>1056</v>
      </c>
      <c r="D1045" s="124" t="s">
        <v>1055</v>
      </c>
      <c r="E1045" s="146">
        <v>15.854875283446713</v>
      </c>
      <c r="F1045" s="124">
        <v>13.836734693877551</v>
      </c>
      <c r="G1045" s="124">
        <v>89.285714285714292</v>
      </c>
      <c r="H1045" s="124">
        <v>89.285714285714292</v>
      </c>
      <c r="I1045" s="124">
        <v>73.430839002267575</v>
      </c>
      <c r="J1045" s="124">
        <v>103.12244897959184</v>
      </c>
      <c r="K1045" s="445">
        <f t="shared" si="36"/>
        <v>-10.714285714285708</v>
      </c>
      <c r="L1045" s="445">
        <f t="shared" si="37"/>
        <v>-26.569160997732425</v>
      </c>
      <c r="M1045" s="445">
        <f t="shared" si="38"/>
        <v>3.1224489795918373</v>
      </c>
    </row>
    <row r="1046" spans="1:13" s="439" customFormat="1" x14ac:dyDescent="0.3">
      <c r="A1046" s="124" t="s">
        <v>547</v>
      </c>
      <c r="B1046" s="146" t="s">
        <v>654</v>
      </c>
      <c r="C1046" s="146" t="s">
        <v>1057</v>
      </c>
      <c r="D1046" s="146" t="s">
        <v>1055</v>
      </c>
      <c r="E1046" s="146">
        <v>14.136507936507936</v>
      </c>
      <c r="F1046" s="146">
        <v>9.2952380952380942</v>
      </c>
      <c r="G1046" s="146">
        <v>97</v>
      </c>
      <c r="H1046" s="146">
        <v>97</v>
      </c>
      <c r="I1046" s="146">
        <v>82.86349206349206</v>
      </c>
      <c r="J1046" s="146">
        <v>106.29523809523809</v>
      </c>
      <c r="K1046" s="445">
        <f t="shared" si="36"/>
        <v>-3</v>
      </c>
      <c r="L1046" s="445">
        <f t="shared" si="37"/>
        <v>-17.13650793650794</v>
      </c>
      <c r="M1046" s="445">
        <f t="shared" si="38"/>
        <v>6.2952380952380906</v>
      </c>
    </row>
    <row r="1047" spans="1:13" s="439" customFormat="1" x14ac:dyDescent="0.3">
      <c r="A1047" s="124" t="s">
        <v>547</v>
      </c>
      <c r="B1047" s="124" t="s">
        <v>656</v>
      </c>
      <c r="C1047" s="124" t="s">
        <v>1052</v>
      </c>
      <c r="D1047" s="124" t="s">
        <v>1053</v>
      </c>
      <c r="E1047" s="124">
        <v>15.288534994417347</v>
      </c>
      <c r="F1047" s="124">
        <v>24.947148439795498</v>
      </c>
      <c r="G1047" s="124">
        <v>47.25</v>
      </c>
      <c r="H1047" s="124">
        <v>47.25</v>
      </c>
      <c r="I1047" s="124">
        <v>31.961465005582653</v>
      </c>
      <c r="J1047" s="124">
        <v>72.197148439795498</v>
      </c>
      <c r="K1047" s="445">
        <f t="shared" si="36"/>
        <v>-52.75</v>
      </c>
      <c r="L1047" s="445">
        <f t="shared" si="37"/>
        <v>-68.038534994417347</v>
      </c>
      <c r="M1047" s="445">
        <f t="shared" si="38"/>
        <v>-27.802851560204502</v>
      </c>
    </row>
    <row r="1048" spans="1:13" s="439" customFormat="1" x14ac:dyDescent="0.3">
      <c r="A1048" s="124" t="s">
        <v>547</v>
      </c>
      <c r="B1048" s="124" t="s">
        <v>656</v>
      </c>
      <c r="C1048" s="124" t="s">
        <v>1056</v>
      </c>
      <c r="D1048" s="124" t="s">
        <v>1053</v>
      </c>
      <c r="E1048" s="124">
        <v>8.412698412698413</v>
      </c>
      <c r="F1048" s="124">
        <v>17.023088023088022</v>
      </c>
      <c r="G1048" s="124">
        <v>84.125</v>
      </c>
      <c r="H1048" s="124">
        <v>84.125</v>
      </c>
      <c r="I1048" s="124">
        <v>75.712301587301582</v>
      </c>
      <c r="J1048" s="124">
        <v>101.14808802308802</v>
      </c>
      <c r="K1048" s="445">
        <f t="shared" si="36"/>
        <v>-15.875</v>
      </c>
      <c r="L1048" s="445">
        <f t="shared" si="37"/>
        <v>-24.287698412698418</v>
      </c>
      <c r="M1048" s="445">
        <f t="shared" si="38"/>
        <v>1.1480880230880217</v>
      </c>
    </row>
    <row r="1049" spans="1:13" s="439" customFormat="1" x14ac:dyDescent="0.3">
      <c r="A1049" s="124" t="s">
        <v>547</v>
      </c>
      <c r="B1049" s="146" t="s">
        <v>656</v>
      </c>
      <c r="C1049" s="146" t="s">
        <v>1057</v>
      </c>
      <c r="D1049" s="146" t="s">
        <v>1053</v>
      </c>
      <c r="E1049" s="124">
        <v>0</v>
      </c>
      <c r="F1049" s="124">
        <v>0</v>
      </c>
      <c r="G1049" s="124">
        <v>100</v>
      </c>
      <c r="H1049" s="124">
        <v>100</v>
      </c>
      <c r="I1049" s="124">
        <v>100</v>
      </c>
      <c r="J1049" s="124">
        <v>100</v>
      </c>
      <c r="K1049" s="445">
        <f t="shared" si="36"/>
        <v>0</v>
      </c>
      <c r="L1049" s="445">
        <f t="shared" si="37"/>
        <v>0</v>
      </c>
      <c r="M1049" s="445">
        <f t="shared" si="38"/>
        <v>0</v>
      </c>
    </row>
    <row r="1050" spans="1:13" s="439" customFormat="1" x14ac:dyDescent="0.3">
      <c r="A1050" s="124" t="s">
        <v>547</v>
      </c>
      <c r="B1050" s="146" t="s">
        <v>656</v>
      </c>
      <c r="C1050" s="124" t="s">
        <v>1052</v>
      </c>
      <c r="D1050" s="124" t="s">
        <v>1054</v>
      </c>
      <c r="E1050" s="124">
        <v>18.200280112044815</v>
      </c>
      <c r="F1050" s="124">
        <v>25.871848739495796</v>
      </c>
      <c r="G1050" s="124">
        <v>35</v>
      </c>
      <c r="H1050" s="124">
        <v>35</v>
      </c>
      <c r="I1050" s="124">
        <v>16.799719887955185</v>
      </c>
      <c r="J1050" s="124">
        <v>60.871848739495796</v>
      </c>
      <c r="K1050" s="445">
        <f t="shared" si="36"/>
        <v>-65</v>
      </c>
      <c r="L1050" s="445">
        <f t="shared" si="37"/>
        <v>-83.200280112044823</v>
      </c>
      <c r="M1050" s="445">
        <f t="shared" si="38"/>
        <v>-39.128151260504204</v>
      </c>
    </row>
    <row r="1051" spans="1:13" s="439" customFormat="1" x14ac:dyDescent="0.3">
      <c r="A1051" s="124" t="s">
        <v>547</v>
      </c>
      <c r="B1051" s="124" t="s">
        <v>656</v>
      </c>
      <c r="C1051" s="124" t="s">
        <v>1056</v>
      </c>
      <c r="D1051" s="124" t="s">
        <v>1054</v>
      </c>
      <c r="E1051" s="124">
        <v>11.287815126050418</v>
      </c>
      <c r="F1051" s="124">
        <v>17.084033613445378</v>
      </c>
      <c r="G1051" s="124">
        <v>75.625</v>
      </c>
      <c r="H1051" s="124">
        <v>75.625</v>
      </c>
      <c r="I1051" s="124">
        <v>64.337184873949582</v>
      </c>
      <c r="J1051" s="124">
        <v>92.709033613445371</v>
      </c>
      <c r="K1051" s="445">
        <f t="shared" si="36"/>
        <v>-24.375</v>
      </c>
      <c r="L1051" s="445">
        <f t="shared" si="37"/>
        <v>-35.662815126050418</v>
      </c>
      <c r="M1051" s="445">
        <f t="shared" si="38"/>
        <v>-7.2909663865546293</v>
      </c>
    </row>
    <row r="1052" spans="1:13" s="439" customFormat="1" x14ac:dyDescent="0.3">
      <c r="A1052" s="124" t="s">
        <v>547</v>
      </c>
      <c r="B1052" s="124" t="s">
        <v>656</v>
      </c>
      <c r="C1052" s="124" t="s">
        <v>1057</v>
      </c>
      <c r="D1052" s="124" t="s">
        <v>1054</v>
      </c>
      <c r="E1052" s="124">
        <v>5.6527777777777777</v>
      </c>
      <c r="F1052" s="124">
        <v>4.3472222222222223</v>
      </c>
      <c r="G1052" s="124">
        <v>99.125</v>
      </c>
      <c r="H1052" s="124">
        <v>99.125</v>
      </c>
      <c r="I1052" s="124">
        <v>93.472222222222229</v>
      </c>
      <c r="J1052" s="124">
        <v>103.47222222222223</v>
      </c>
      <c r="K1052" s="445">
        <f t="shared" si="36"/>
        <v>-0.875</v>
      </c>
      <c r="L1052" s="445">
        <f t="shared" si="37"/>
        <v>-6.5277777777777715</v>
      </c>
      <c r="M1052" s="445">
        <f t="shared" si="38"/>
        <v>3.4722222222222285</v>
      </c>
    </row>
    <row r="1053" spans="1:13" s="439" customFormat="1" x14ac:dyDescent="0.3">
      <c r="A1053" s="124" t="s">
        <v>547</v>
      </c>
      <c r="B1053" s="124" t="s">
        <v>656</v>
      </c>
      <c r="C1053" s="124" t="s">
        <v>1052</v>
      </c>
      <c r="D1053" s="124" t="s">
        <v>1055</v>
      </c>
      <c r="E1053" s="124">
        <v>21.703571428571429</v>
      </c>
      <c r="F1053" s="124">
        <v>20.767857142857142</v>
      </c>
      <c r="G1053" s="124">
        <v>64.75</v>
      </c>
      <c r="H1053" s="124">
        <v>64.75</v>
      </c>
      <c r="I1053" s="124">
        <v>43.046428571428571</v>
      </c>
      <c r="J1053" s="124">
        <v>85.517857142857139</v>
      </c>
      <c r="K1053" s="445">
        <f t="shared" si="36"/>
        <v>-35.25</v>
      </c>
      <c r="L1053" s="445">
        <f t="shared" si="37"/>
        <v>-56.953571428571429</v>
      </c>
      <c r="M1053" s="445">
        <f t="shared" si="38"/>
        <v>-14.482142857142861</v>
      </c>
    </row>
    <row r="1054" spans="1:13" s="439" customFormat="1" x14ac:dyDescent="0.3">
      <c r="A1054" s="124" t="s">
        <v>547</v>
      </c>
      <c r="B1054" s="146" t="s">
        <v>656</v>
      </c>
      <c r="C1054" s="146" t="s">
        <v>1056</v>
      </c>
      <c r="D1054" s="124" t="s">
        <v>1055</v>
      </c>
      <c r="E1054" s="146">
        <v>18.419607843137253</v>
      </c>
      <c r="F1054" s="124">
        <v>13.821988795518207</v>
      </c>
      <c r="G1054" s="124">
        <v>86</v>
      </c>
      <c r="H1054" s="124">
        <v>86</v>
      </c>
      <c r="I1054" s="124">
        <v>67.580392156862743</v>
      </c>
      <c r="J1054" s="124">
        <v>99.821988795518209</v>
      </c>
      <c r="K1054" s="445">
        <f t="shared" si="36"/>
        <v>-14</v>
      </c>
      <c r="L1054" s="445">
        <f t="shared" si="37"/>
        <v>-32.419607843137257</v>
      </c>
      <c r="M1054" s="445">
        <f t="shared" si="38"/>
        <v>-0.1780112044817912</v>
      </c>
    </row>
    <row r="1055" spans="1:13" s="439" customFormat="1" x14ac:dyDescent="0.3">
      <c r="A1055" s="124" t="s">
        <v>547</v>
      </c>
      <c r="B1055" s="146" t="s">
        <v>656</v>
      </c>
      <c r="C1055" s="146" t="s">
        <v>1057</v>
      </c>
      <c r="D1055" s="124" t="s">
        <v>1055</v>
      </c>
      <c r="E1055" s="146">
        <v>12.465102707749766</v>
      </c>
      <c r="F1055" s="124">
        <v>12.808239962651726</v>
      </c>
      <c r="G1055" s="124">
        <v>93.125</v>
      </c>
      <c r="H1055" s="124">
        <v>93.125</v>
      </c>
      <c r="I1055" s="124">
        <v>80.659897292250236</v>
      </c>
      <c r="J1055" s="124">
        <v>105.93323996265173</v>
      </c>
      <c r="K1055" s="445">
        <f t="shared" si="36"/>
        <v>-6.875</v>
      </c>
      <c r="L1055" s="445">
        <f t="shared" si="37"/>
        <v>-19.340102707749764</v>
      </c>
      <c r="M1055" s="445">
        <f t="shared" si="38"/>
        <v>5.9332399626517258</v>
      </c>
    </row>
    <row r="1056" spans="1:13" s="439" customFormat="1" x14ac:dyDescent="0.3">
      <c r="A1056" s="124" t="s">
        <v>547</v>
      </c>
      <c r="B1056" s="124" t="s">
        <v>658</v>
      </c>
      <c r="C1056" s="124" t="s">
        <v>1052</v>
      </c>
      <c r="D1056" s="124" t="s">
        <v>1053</v>
      </c>
      <c r="E1056" s="124">
        <v>18.015807721690074</v>
      </c>
      <c r="F1056" s="124">
        <v>25.288057530704588</v>
      </c>
      <c r="G1056" s="124">
        <v>44.375</v>
      </c>
      <c r="H1056" s="124">
        <v>44.375</v>
      </c>
      <c r="I1056" s="124">
        <v>26.359192278309926</v>
      </c>
      <c r="J1056" s="124">
        <v>69.663057530704592</v>
      </c>
      <c r="K1056" s="445">
        <f t="shared" si="36"/>
        <v>-55.625</v>
      </c>
      <c r="L1056" s="445">
        <f t="shared" si="37"/>
        <v>-73.640807721690067</v>
      </c>
      <c r="M1056" s="445">
        <f t="shared" si="38"/>
        <v>-30.336942469295408</v>
      </c>
    </row>
    <row r="1057" spans="1:13" s="439" customFormat="1" x14ac:dyDescent="0.3">
      <c r="A1057" s="124" t="s">
        <v>547</v>
      </c>
      <c r="B1057" s="124" t="s">
        <v>658</v>
      </c>
      <c r="C1057" s="124" t="s">
        <v>1056</v>
      </c>
      <c r="D1057" s="124" t="s">
        <v>1053</v>
      </c>
      <c r="E1057" s="124">
        <v>9.3217893217893213</v>
      </c>
      <c r="F1057" s="124">
        <v>15.75036075036075</v>
      </c>
      <c r="G1057" s="124">
        <v>83.625</v>
      </c>
      <c r="H1057" s="124">
        <v>83.625</v>
      </c>
      <c r="I1057" s="124">
        <v>74.303210678210675</v>
      </c>
      <c r="J1057" s="124">
        <v>99.375360750360755</v>
      </c>
      <c r="K1057" s="445">
        <f t="shared" si="36"/>
        <v>-16.375</v>
      </c>
      <c r="L1057" s="445">
        <f t="shared" si="37"/>
        <v>-25.696789321789325</v>
      </c>
      <c r="M1057" s="445">
        <f t="shared" si="38"/>
        <v>-0.62463924963924455</v>
      </c>
    </row>
    <row r="1058" spans="1:13" s="439" customFormat="1" x14ac:dyDescent="0.3">
      <c r="A1058" s="124" t="s">
        <v>547</v>
      </c>
      <c r="B1058" s="146" t="s">
        <v>658</v>
      </c>
      <c r="C1058" s="146" t="s">
        <v>1057</v>
      </c>
      <c r="D1058" s="146" t="s">
        <v>1053</v>
      </c>
      <c r="E1058" s="124">
        <v>0</v>
      </c>
      <c r="F1058" s="124">
        <v>0</v>
      </c>
      <c r="G1058" s="124">
        <v>100</v>
      </c>
      <c r="H1058" s="124">
        <v>100</v>
      </c>
      <c r="I1058" s="124">
        <v>100</v>
      </c>
      <c r="J1058" s="124">
        <v>100</v>
      </c>
      <c r="K1058" s="445">
        <f t="shared" si="36"/>
        <v>0</v>
      </c>
      <c r="L1058" s="445">
        <f t="shared" si="37"/>
        <v>0</v>
      </c>
      <c r="M1058" s="445">
        <f t="shared" si="38"/>
        <v>0</v>
      </c>
    </row>
    <row r="1059" spans="1:13" s="439" customFormat="1" x14ac:dyDescent="0.3">
      <c r="A1059" s="124" t="s">
        <v>547</v>
      </c>
      <c r="B1059" s="146" t="s">
        <v>658</v>
      </c>
      <c r="C1059" s="124" t="s">
        <v>1052</v>
      </c>
      <c r="D1059" s="124" t="s">
        <v>1054</v>
      </c>
      <c r="E1059" s="124">
        <v>18.521708683473388</v>
      </c>
      <c r="F1059" s="124">
        <v>25.193277310924369</v>
      </c>
      <c r="G1059" s="124">
        <v>38</v>
      </c>
      <c r="H1059" s="124">
        <v>38</v>
      </c>
      <c r="I1059" s="124">
        <v>19.478291316526612</v>
      </c>
      <c r="J1059" s="124">
        <v>63.193277310924373</v>
      </c>
      <c r="K1059" s="445">
        <f t="shared" si="36"/>
        <v>-62</v>
      </c>
      <c r="L1059" s="445">
        <f t="shared" si="37"/>
        <v>-80.521708683473392</v>
      </c>
      <c r="M1059" s="445">
        <f t="shared" si="38"/>
        <v>-36.806722689075627</v>
      </c>
    </row>
    <row r="1060" spans="1:13" s="439" customFormat="1" x14ac:dyDescent="0.3">
      <c r="A1060" s="124" t="s">
        <v>547</v>
      </c>
      <c r="B1060" s="124" t="s">
        <v>658</v>
      </c>
      <c r="C1060" s="124" t="s">
        <v>1056</v>
      </c>
      <c r="D1060" s="124" t="s">
        <v>1054</v>
      </c>
      <c r="E1060" s="124">
        <v>11.823529411764707</v>
      </c>
      <c r="F1060" s="124">
        <v>15.47689075630252</v>
      </c>
      <c r="G1060" s="124">
        <v>78.75</v>
      </c>
      <c r="H1060" s="124">
        <v>78.75</v>
      </c>
      <c r="I1060" s="124">
        <v>66.92647058823529</v>
      </c>
      <c r="J1060" s="124">
        <v>94.226890756302524</v>
      </c>
      <c r="K1060" s="445">
        <f t="shared" si="36"/>
        <v>-21.25</v>
      </c>
      <c r="L1060" s="445">
        <f t="shared" si="37"/>
        <v>-33.07352941176471</v>
      </c>
      <c r="M1060" s="445">
        <f t="shared" si="38"/>
        <v>-5.7731092436974762</v>
      </c>
    </row>
    <row r="1061" spans="1:13" s="439" customFormat="1" x14ac:dyDescent="0.3">
      <c r="A1061" s="124" t="s">
        <v>547</v>
      </c>
      <c r="B1061" s="124" t="s">
        <v>658</v>
      </c>
      <c r="C1061" s="124" t="s">
        <v>1057</v>
      </c>
      <c r="D1061" s="124" t="s">
        <v>1054</v>
      </c>
      <c r="E1061" s="124">
        <v>5.6527777777777777</v>
      </c>
      <c r="F1061" s="124">
        <v>4.3472222222222223</v>
      </c>
      <c r="G1061" s="124">
        <v>99.125</v>
      </c>
      <c r="H1061" s="124">
        <v>99.125</v>
      </c>
      <c r="I1061" s="124">
        <v>93.472222222222229</v>
      </c>
      <c r="J1061" s="124">
        <v>103.47222222222223</v>
      </c>
      <c r="K1061" s="445">
        <f t="shared" si="36"/>
        <v>-0.875</v>
      </c>
      <c r="L1061" s="445">
        <f t="shared" si="37"/>
        <v>-6.5277777777777715</v>
      </c>
      <c r="M1061" s="445">
        <f t="shared" si="38"/>
        <v>3.4722222222222285</v>
      </c>
    </row>
    <row r="1062" spans="1:13" s="439" customFormat="1" x14ac:dyDescent="0.3">
      <c r="A1062" s="124" t="s">
        <v>547</v>
      </c>
      <c r="B1062" s="124" t="s">
        <v>658</v>
      </c>
      <c r="C1062" s="124" t="s">
        <v>1052</v>
      </c>
      <c r="D1062" s="124" t="s">
        <v>1055</v>
      </c>
      <c r="E1062" s="124">
        <v>19.244747899159663</v>
      </c>
      <c r="F1062" s="124">
        <v>21.875700280112042</v>
      </c>
      <c r="G1062" s="124">
        <v>62.5</v>
      </c>
      <c r="H1062" s="124">
        <v>62.5</v>
      </c>
      <c r="I1062" s="124">
        <v>43.255252100840337</v>
      </c>
      <c r="J1062" s="124">
        <v>84.375700280112042</v>
      </c>
      <c r="K1062" s="445">
        <f t="shared" si="36"/>
        <v>-37.5</v>
      </c>
      <c r="L1062" s="445">
        <f t="shared" si="37"/>
        <v>-56.744747899159663</v>
      </c>
      <c r="M1062" s="445">
        <f t="shared" si="38"/>
        <v>-15.624299719887958</v>
      </c>
    </row>
    <row r="1063" spans="1:13" s="439" customFormat="1" x14ac:dyDescent="0.3">
      <c r="A1063" s="124" t="s">
        <v>547</v>
      </c>
      <c r="B1063" s="146" t="s">
        <v>658</v>
      </c>
      <c r="C1063" s="146" t="s">
        <v>1056</v>
      </c>
      <c r="D1063" s="124" t="s">
        <v>1055</v>
      </c>
      <c r="E1063" s="146">
        <v>16.769607843137251</v>
      </c>
      <c r="F1063" s="124">
        <v>15.20532212885154</v>
      </c>
      <c r="G1063" s="124">
        <v>85</v>
      </c>
      <c r="H1063" s="124">
        <v>85</v>
      </c>
      <c r="I1063" s="124">
        <v>68.230392156862749</v>
      </c>
      <c r="J1063" s="124">
        <v>100.20532212885153</v>
      </c>
      <c r="K1063" s="445">
        <f t="shared" si="36"/>
        <v>-15</v>
      </c>
      <c r="L1063" s="445">
        <f t="shared" si="37"/>
        <v>-31.769607843137251</v>
      </c>
      <c r="M1063" s="445">
        <f t="shared" si="38"/>
        <v>0.20532212885153456</v>
      </c>
    </row>
    <row r="1064" spans="1:13" s="439" customFormat="1" x14ac:dyDescent="0.3">
      <c r="A1064" s="124" t="s">
        <v>547</v>
      </c>
      <c r="B1064" s="146" t="s">
        <v>658</v>
      </c>
      <c r="C1064" s="146" t="s">
        <v>1057</v>
      </c>
      <c r="D1064" s="124" t="s">
        <v>1055</v>
      </c>
      <c r="E1064" s="146">
        <v>12.375816993464053</v>
      </c>
      <c r="F1064" s="124">
        <v>12.718954248366012</v>
      </c>
      <c r="G1064" s="124">
        <v>93.125</v>
      </c>
      <c r="H1064" s="124">
        <v>93.125</v>
      </c>
      <c r="I1064" s="124">
        <v>80.749183006535944</v>
      </c>
      <c r="J1064" s="124">
        <v>105.84395424836602</v>
      </c>
      <c r="K1064" s="445">
        <f t="shared" si="36"/>
        <v>-6.875</v>
      </c>
      <c r="L1064" s="445">
        <f t="shared" si="37"/>
        <v>-19.250816993464056</v>
      </c>
      <c r="M1064" s="445">
        <f t="shared" si="38"/>
        <v>5.8439542483660176</v>
      </c>
    </row>
    <row r="1065" spans="1:13" s="439" customFormat="1" x14ac:dyDescent="0.3">
      <c r="A1065" s="124" t="s">
        <v>756</v>
      </c>
      <c r="B1065" s="146" t="s">
        <v>782</v>
      </c>
      <c r="C1065" s="146" t="s">
        <v>1052</v>
      </c>
      <c r="D1065" s="146" t="s">
        <v>1053</v>
      </c>
      <c r="E1065" s="124">
        <v>25.158424908424909</v>
      </c>
      <c r="F1065" s="124">
        <v>28.184065934065934</v>
      </c>
      <c r="G1065" s="124">
        <v>46.25</v>
      </c>
      <c r="H1065" s="124">
        <v>46.25</v>
      </c>
      <c r="I1065" s="124">
        <v>21.091575091575091</v>
      </c>
      <c r="J1065" s="124">
        <v>74.434065934065927</v>
      </c>
      <c r="K1065" s="445">
        <f t="shared" si="36"/>
        <v>-53.75</v>
      </c>
      <c r="L1065" s="445">
        <f t="shared" si="37"/>
        <v>-78.908424908424905</v>
      </c>
      <c r="M1065" s="445">
        <f t="shared" si="38"/>
        <v>-25.565934065934073</v>
      </c>
    </row>
    <row r="1066" spans="1:13" s="439" customFormat="1" x14ac:dyDescent="0.3">
      <c r="A1066" s="124" t="s">
        <v>756</v>
      </c>
      <c r="B1066" s="146" t="s">
        <v>782</v>
      </c>
      <c r="C1066" s="124" t="s">
        <v>1056</v>
      </c>
      <c r="D1066" s="146" t="s">
        <v>1053</v>
      </c>
      <c r="E1066" s="124">
        <v>22.465578539107948</v>
      </c>
      <c r="F1066" s="124">
        <v>17.429217840982549</v>
      </c>
      <c r="G1066" s="124">
        <v>78.75</v>
      </c>
      <c r="H1066" s="124">
        <v>78.75</v>
      </c>
      <c r="I1066" s="124">
        <v>56.284421460892048</v>
      </c>
      <c r="J1066" s="124">
        <v>96.179217840982545</v>
      </c>
      <c r="K1066" s="445">
        <f t="shared" si="36"/>
        <v>-21.25</v>
      </c>
      <c r="L1066" s="445">
        <f t="shared" si="37"/>
        <v>-43.715578539107952</v>
      </c>
      <c r="M1066" s="445">
        <f t="shared" si="38"/>
        <v>-3.8207821590174547</v>
      </c>
    </row>
    <row r="1067" spans="1:13" s="439" customFormat="1" x14ac:dyDescent="0.3">
      <c r="A1067" s="124" t="s">
        <v>756</v>
      </c>
      <c r="B1067" s="146" t="s">
        <v>782</v>
      </c>
      <c r="C1067" s="146" t="s">
        <v>1057</v>
      </c>
      <c r="D1067" s="146" t="s">
        <v>1053</v>
      </c>
      <c r="E1067" s="124">
        <v>0</v>
      </c>
      <c r="F1067" s="124">
        <v>0</v>
      </c>
      <c r="G1067" s="124">
        <v>100</v>
      </c>
      <c r="H1067" s="124">
        <v>100</v>
      </c>
      <c r="I1067" s="124">
        <v>100</v>
      </c>
      <c r="J1067" s="124">
        <v>100</v>
      </c>
      <c r="K1067" s="445">
        <f t="shared" si="36"/>
        <v>0</v>
      </c>
      <c r="L1067" s="445">
        <f t="shared" si="37"/>
        <v>0</v>
      </c>
      <c r="M1067" s="445">
        <f t="shared" si="38"/>
        <v>0</v>
      </c>
    </row>
    <row r="1068" spans="1:13" s="439" customFormat="1" x14ac:dyDescent="0.3">
      <c r="A1068" s="124" t="s">
        <v>756</v>
      </c>
      <c r="B1068" s="146" t="s">
        <v>782</v>
      </c>
      <c r="C1068" s="146" t="s">
        <v>1052</v>
      </c>
      <c r="D1068" s="146" t="s">
        <v>1054</v>
      </c>
      <c r="E1068" s="124">
        <v>31.339743589743591</v>
      </c>
      <c r="F1068" s="124">
        <v>33.243589743589745</v>
      </c>
      <c r="G1068" s="124">
        <v>51.25</v>
      </c>
      <c r="H1068" s="124">
        <v>51.25</v>
      </c>
      <c r="I1068" s="124">
        <v>19.910256410256409</v>
      </c>
      <c r="J1068" s="124">
        <v>84.493589743589752</v>
      </c>
      <c r="K1068" s="445">
        <f t="shared" si="36"/>
        <v>-48.75</v>
      </c>
      <c r="L1068" s="445">
        <f t="shared" si="37"/>
        <v>-80.089743589743591</v>
      </c>
      <c r="M1068" s="445">
        <f t="shared" si="38"/>
        <v>-15.506410256410248</v>
      </c>
    </row>
    <row r="1069" spans="1:13" s="439" customFormat="1" x14ac:dyDescent="0.3">
      <c r="A1069" s="124" t="s">
        <v>756</v>
      </c>
      <c r="B1069" s="146" t="s">
        <v>782</v>
      </c>
      <c r="C1069" s="124" t="s">
        <v>1056</v>
      </c>
      <c r="D1069" s="146" t="s">
        <v>1054</v>
      </c>
      <c r="E1069" s="124">
        <v>22.994963369963372</v>
      </c>
      <c r="F1069" s="124">
        <v>23.152930402930405</v>
      </c>
      <c r="G1069" s="124">
        <v>79.375</v>
      </c>
      <c r="H1069" s="124">
        <v>79.375</v>
      </c>
      <c r="I1069" s="124">
        <v>56.380036630036628</v>
      </c>
      <c r="J1069" s="124">
        <v>102.52793040293041</v>
      </c>
      <c r="K1069" s="445">
        <f t="shared" si="36"/>
        <v>-20.625</v>
      </c>
      <c r="L1069" s="445">
        <f t="shared" si="37"/>
        <v>-43.619963369963372</v>
      </c>
      <c r="M1069" s="445">
        <f t="shared" si="38"/>
        <v>2.5279304029304086</v>
      </c>
    </row>
    <row r="1070" spans="1:13" s="439" customFormat="1" x14ac:dyDescent="0.3">
      <c r="A1070" s="124" t="s">
        <v>756</v>
      </c>
      <c r="B1070" s="146" t="s">
        <v>782</v>
      </c>
      <c r="C1070" s="124" t="s">
        <v>1057</v>
      </c>
      <c r="D1070" s="146" t="s">
        <v>1054</v>
      </c>
      <c r="E1070" s="124">
        <v>14.795518207282914</v>
      </c>
      <c r="F1070" s="124">
        <v>4.6348039215686274</v>
      </c>
      <c r="G1070" s="124">
        <v>98.125</v>
      </c>
      <c r="H1070" s="124">
        <v>98.125</v>
      </c>
      <c r="I1070" s="124">
        <v>83.32948179271709</v>
      </c>
      <c r="J1070" s="124">
        <v>102.75980392156863</v>
      </c>
      <c r="K1070" s="445">
        <f t="shared" si="36"/>
        <v>-1.875</v>
      </c>
      <c r="L1070" s="445">
        <f t="shared" si="37"/>
        <v>-16.67051820728291</v>
      </c>
      <c r="M1070" s="445">
        <f t="shared" si="38"/>
        <v>2.7598039215686327</v>
      </c>
    </row>
    <row r="1071" spans="1:13" s="439" customFormat="1" x14ac:dyDescent="0.3">
      <c r="A1071" s="124" t="s">
        <v>756</v>
      </c>
      <c r="B1071" s="146" t="s">
        <v>782</v>
      </c>
      <c r="C1071" s="146" t="s">
        <v>1052</v>
      </c>
      <c r="D1071" s="124" t="s">
        <v>1055</v>
      </c>
      <c r="E1071" s="124">
        <v>38.282051282051285</v>
      </c>
      <c r="F1071" s="124">
        <v>25.198717948717949</v>
      </c>
      <c r="G1071" s="124">
        <v>73.75</v>
      </c>
      <c r="H1071" s="124">
        <v>73.75</v>
      </c>
      <c r="I1071" s="124">
        <v>35.467948717948715</v>
      </c>
      <c r="J1071" s="124">
        <v>98.948717948717956</v>
      </c>
      <c r="K1071" s="445">
        <f t="shared" si="36"/>
        <v>-26.25</v>
      </c>
      <c r="L1071" s="445">
        <f t="shared" si="37"/>
        <v>-64.532051282051285</v>
      </c>
      <c r="M1071" s="445">
        <f t="shared" si="38"/>
        <v>-1.051282051282044</v>
      </c>
    </row>
    <row r="1072" spans="1:13" s="439" customFormat="1" x14ac:dyDescent="0.3">
      <c r="A1072" s="124" t="s">
        <v>756</v>
      </c>
      <c r="B1072" s="146" t="s">
        <v>782</v>
      </c>
      <c r="C1072" s="146" t="s">
        <v>1056</v>
      </c>
      <c r="D1072" s="146" t="s">
        <v>1055</v>
      </c>
      <c r="E1072" s="146">
        <v>21.570970695970697</v>
      </c>
      <c r="F1072" s="146">
        <v>15.910256410256409</v>
      </c>
      <c r="G1072" s="146">
        <v>90</v>
      </c>
      <c r="H1072" s="146">
        <v>90</v>
      </c>
      <c r="I1072" s="146">
        <v>68.429029304029299</v>
      </c>
      <c r="J1072" s="146">
        <v>105.91025641025641</v>
      </c>
      <c r="K1072" s="445">
        <f t="shared" si="36"/>
        <v>-10</v>
      </c>
      <c r="L1072" s="445">
        <f t="shared" si="37"/>
        <v>-31.570970695970701</v>
      </c>
      <c r="M1072" s="445">
        <f t="shared" si="38"/>
        <v>5.9102564102564088</v>
      </c>
    </row>
    <row r="1073" spans="1:13" s="439" customFormat="1" x14ac:dyDescent="0.3">
      <c r="A1073" s="124" t="s">
        <v>756</v>
      </c>
      <c r="B1073" s="146" t="s">
        <v>782</v>
      </c>
      <c r="C1073" s="146" t="s">
        <v>1057</v>
      </c>
      <c r="D1073" s="146" t="s">
        <v>1055</v>
      </c>
      <c r="E1073" s="146">
        <v>21.095543345543344</v>
      </c>
      <c r="F1073" s="146">
        <v>8.9861111111111107</v>
      </c>
      <c r="G1073" s="146">
        <v>96.875</v>
      </c>
      <c r="H1073" s="146">
        <v>96.875</v>
      </c>
      <c r="I1073" s="146">
        <v>75.779456654456652</v>
      </c>
      <c r="J1073" s="146">
        <v>105.86111111111111</v>
      </c>
      <c r="K1073" s="445">
        <f t="shared" si="36"/>
        <v>-3.125</v>
      </c>
      <c r="L1073" s="445">
        <f t="shared" si="37"/>
        <v>-24.220543345543348</v>
      </c>
      <c r="M1073" s="445">
        <f t="shared" si="38"/>
        <v>5.8611111111111143</v>
      </c>
    </row>
    <row r="1074" spans="1:13" s="439" customFormat="1" x14ac:dyDescent="0.3">
      <c r="A1074" s="124" t="s">
        <v>756</v>
      </c>
      <c r="B1074" s="146" t="s">
        <v>760</v>
      </c>
      <c r="C1074" s="146" t="s">
        <v>1052</v>
      </c>
      <c r="D1074" s="146" t="s">
        <v>1053</v>
      </c>
      <c r="E1074" s="124">
        <v>18.005494505494507</v>
      </c>
      <c r="F1074" s="124">
        <v>37.519230769230766</v>
      </c>
      <c r="G1074" s="124">
        <v>28.75</v>
      </c>
      <c r="H1074" s="124">
        <v>28.75</v>
      </c>
      <c r="I1074" s="124">
        <v>10.744505494505493</v>
      </c>
      <c r="J1074" s="124">
        <v>66.269230769230774</v>
      </c>
      <c r="K1074" s="445">
        <f t="shared" si="36"/>
        <v>-71.25</v>
      </c>
      <c r="L1074" s="445">
        <f t="shared" si="37"/>
        <v>-89.255494505494511</v>
      </c>
      <c r="M1074" s="445">
        <f t="shared" si="38"/>
        <v>-33.730769230769226</v>
      </c>
    </row>
    <row r="1075" spans="1:13" s="439" customFormat="1" x14ac:dyDescent="0.3">
      <c r="A1075" s="124" t="s">
        <v>756</v>
      </c>
      <c r="B1075" s="146" t="s">
        <v>760</v>
      </c>
      <c r="C1075" s="124" t="s">
        <v>1056</v>
      </c>
      <c r="D1075" s="146" t="s">
        <v>1053</v>
      </c>
      <c r="E1075" s="124">
        <v>26.744505494505493</v>
      </c>
      <c r="F1075" s="124">
        <v>24.31318681318681</v>
      </c>
      <c r="G1075" s="124">
        <v>65.625</v>
      </c>
      <c r="H1075" s="124">
        <v>65.625</v>
      </c>
      <c r="I1075" s="124">
        <v>38.880494505494511</v>
      </c>
      <c r="J1075" s="124">
        <v>89.938186813186803</v>
      </c>
      <c r="K1075" s="445">
        <f t="shared" si="36"/>
        <v>-34.375</v>
      </c>
      <c r="L1075" s="445">
        <f t="shared" si="37"/>
        <v>-61.119505494505489</v>
      </c>
      <c r="M1075" s="445">
        <f t="shared" si="38"/>
        <v>-10.061813186813197</v>
      </c>
    </row>
    <row r="1076" spans="1:13" s="439" customFormat="1" x14ac:dyDescent="0.3">
      <c r="A1076" s="124" t="s">
        <v>756</v>
      </c>
      <c r="B1076" s="146" t="s">
        <v>760</v>
      </c>
      <c r="C1076" s="146" t="s">
        <v>1057</v>
      </c>
      <c r="D1076" s="146" t="s">
        <v>1053</v>
      </c>
      <c r="E1076" s="124">
        <v>0</v>
      </c>
      <c r="F1076" s="124">
        <v>0</v>
      </c>
      <c r="G1076" s="124">
        <v>100</v>
      </c>
      <c r="H1076" s="124">
        <v>100</v>
      </c>
      <c r="I1076" s="124">
        <v>100</v>
      </c>
      <c r="J1076" s="124">
        <v>100</v>
      </c>
      <c r="K1076" s="445">
        <f t="shared" si="36"/>
        <v>0</v>
      </c>
      <c r="L1076" s="445">
        <f t="shared" si="37"/>
        <v>0</v>
      </c>
      <c r="M1076" s="445">
        <f t="shared" si="38"/>
        <v>0</v>
      </c>
    </row>
    <row r="1077" spans="1:13" s="439" customFormat="1" x14ac:dyDescent="0.3">
      <c r="A1077" s="124" t="s">
        <v>756</v>
      </c>
      <c r="B1077" s="146" t="s">
        <v>760</v>
      </c>
      <c r="C1077" s="146" t="s">
        <v>1052</v>
      </c>
      <c r="D1077" s="146" t="s">
        <v>1054</v>
      </c>
      <c r="E1077" s="124">
        <v>18.924908424908423</v>
      </c>
      <c r="F1077" s="124">
        <v>38.302197802197803</v>
      </c>
      <c r="G1077" s="124">
        <v>28.125</v>
      </c>
      <c r="H1077" s="124">
        <v>28.125</v>
      </c>
      <c r="I1077" s="124">
        <v>9.2000915750915766</v>
      </c>
      <c r="J1077" s="124">
        <v>66.42719780219781</v>
      </c>
      <c r="K1077" s="445">
        <f t="shared" si="36"/>
        <v>-71.875</v>
      </c>
      <c r="L1077" s="445">
        <f t="shared" si="37"/>
        <v>-90.799908424908423</v>
      </c>
      <c r="M1077" s="445">
        <f t="shared" si="38"/>
        <v>-33.57280219780219</v>
      </c>
    </row>
    <row r="1078" spans="1:13" s="439" customFormat="1" x14ac:dyDescent="0.3">
      <c r="A1078" s="124" t="s">
        <v>756</v>
      </c>
      <c r="B1078" s="146" t="s">
        <v>760</v>
      </c>
      <c r="C1078" s="124" t="s">
        <v>1056</v>
      </c>
      <c r="D1078" s="146" t="s">
        <v>1054</v>
      </c>
      <c r="E1078" s="124">
        <v>29.08653846153846</v>
      </c>
      <c r="F1078" s="124">
        <v>23.598901098901099</v>
      </c>
      <c r="G1078" s="124">
        <v>66.875</v>
      </c>
      <c r="H1078" s="124">
        <v>66.875</v>
      </c>
      <c r="I1078" s="124">
        <v>37.78846153846154</v>
      </c>
      <c r="J1078" s="124">
        <v>90.473901098901095</v>
      </c>
      <c r="K1078" s="445">
        <f t="shared" si="36"/>
        <v>-33.125</v>
      </c>
      <c r="L1078" s="445">
        <f t="shared" si="37"/>
        <v>-62.21153846153846</v>
      </c>
      <c r="M1078" s="445">
        <f t="shared" si="38"/>
        <v>-9.526098901098905</v>
      </c>
    </row>
    <row r="1079" spans="1:13" s="439" customFormat="1" x14ac:dyDescent="0.3">
      <c r="A1079" s="124" t="s">
        <v>756</v>
      </c>
      <c r="B1079" s="146" t="s">
        <v>760</v>
      </c>
      <c r="C1079" s="124" t="s">
        <v>1057</v>
      </c>
      <c r="D1079" s="146" t="s">
        <v>1054</v>
      </c>
      <c r="E1079" s="124">
        <v>16.432422969187677</v>
      </c>
      <c r="F1079" s="124">
        <v>9.4681372549019596</v>
      </c>
      <c r="G1079" s="124">
        <v>93.75</v>
      </c>
      <c r="H1079" s="124">
        <v>93.75</v>
      </c>
      <c r="I1079" s="124">
        <v>77.317577030812316</v>
      </c>
      <c r="J1079" s="124">
        <v>103.21813725490196</v>
      </c>
      <c r="K1079" s="445">
        <f t="shared" si="36"/>
        <v>-6.25</v>
      </c>
      <c r="L1079" s="445">
        <f t="shared" si="37"/>
        <v>-22.682422969187684</v>
      </c>
      <c r="M1079" s="445">
        <f t="shared" si="38"/>
        <v>3.2181372549019613</v>
      </c>
    </row>
    <row r="1080" spans="1:13" s="439" customFormat="1" x14ac:dyDescent="0.3">
      <c r="A1080" s="124" t="s">
        <v>756</v>
      </c>
      <c r="B1080" s="146" t="s">
        <v>760</v>
      </c>
      <c r="C1080" s="146" t="s">
        <v>1052</v>
      </c>
      <c r="D1080" s="124" t="s">
        <v>1055</v>
      </c>
      <c r="E1080" s="124">
        <v>31.778388278388281</v>
      </c>
      <c r="F1080" s="124">
        <v>34.484432234432226</v>
      </c>
      <c r="G1080" s="124">
        <v>47.5</v>
      </c>
      <c r="H1080" s="124">
        <v>47.5</v>
      </c>
      <c r="I1080" s="124">
        <v>15.721611721611719</v>
      </c>
      <c r="J1080" s="124">
        <v>81.984432234432234</v>
      </c>
      <c r="K1080" s="445">
        <f t="shared" si="36"/>
        <v>-52.5</v>
      </c>
      <c r="L1080" s="445">
        <f t="shared" si="37"/>
        <v>-84.278388278388277</v>
      </c>
      <c r="M1080" s="445">
        <f t="shared" si="38"/>
        <v>-18.015567765567766</v>
      </c>
    </row>
    <row r="1081" spans="1:13" s="439" customFormat="1" x14ac:dyDescent="0.3">
      <c r="A1081" s="124" t="s">
        <v>756</v>
      </c>
      <c r="B1081" s="146" t="s">
        <v>760</v>
      </c>
      <c r="C1081" s="124" t="s">
        <v>1056</v>
      </c>
      <c r="D1081" s="124" t="s">
        <v>1055</v>
      </c>
      <c r="E1081" s="124">
        <v>28.70558608058608</v>
      </c>
      <c r="F1081" s="124">
        <v>21.768772893772891</v>
      </c>
      <c r="G1081" s="124">
        <v>75</v>
      </c>
      <c r="H1081" s="124">
        <v>75</v>
      </c>
      <c r="I1081" s="124">
        <v>46.29441391941392</v>
      </c>
      <c r="J1081" s="124">
        <v>96.768772893772891</v>
      </c>
      <c r="K1081" s="445">
        <f t="shared" si="36"/>
        <v>-25</v>
      </c>
      <c r="L1081" s="445">
        <f t="shared" si="37"/>
        <v>-53.70558608058608</v>
      </c>
      <c r="M1081" s="445">
        <f t="shared" si="38"/>
        <v>-3.2312271062271094</v>
      </c>
    </row>
    <row r="1082" spans="1:13" s="439" customFormat="1" x14ac:dyDescent="0.3">
      <c r="A1082" s="124" t="s">
        <v>756</v>
      </c>
      <c r="B1082" s="146" t="s">
        <v>760</v>
      </c>
      <c r="C1082" s="146" t="s">
        <v>1057</v>
      </c>
      <c r="D1082" s="146" t="s">
        <v>1055</v>
      </c>
      <c r="E1082" s="146">
        <v>18.546794871794873</v>
      </c>
      <c r="F1082" s="146">
        <v>16.759615384615383</v>
      </c>
      <c r="G1082" s="146">
        <v>81.25</v>
      </c>
      <c r="H1082" s="146">
        <v>81.25</v>
      </c>
      <c r="I1082" s="146">
        <v>62.703205128205127</v>
      </c>
      <c r="J1082" s="146">
        <v>98.009615384615387</v>
      </c>
      <c r="K1082" s="445">
        <f t="shared" si="36"/>
        <v>-18.75</v>
      </c>
      <c r="L1082" s="445">
        <f t="shared" si="37"/>
        <v>-37.296794871794873</v>
      </c>
      <c r="M1082" s="445">
        <f t="shared" si="38"/>
        <v>-1.9903846153846132</v>
      </c>
    </row>
    <row r="1083" spans="1:13" s="439" customFormat="1" x14ac:dyDescent="0.3">
      <c r="A1083" s="124" t="s">
        <v>756</v>
      </c>
      <c r="B1083" s="146" t="s">
        <v>1059</v>
      </c>
      <c r="C1083" s="146" t="s">
        <v>1052</v>
      </c>
      <c r="D1083" s="146" t="s">
        <v>1053</v>
      </c>
      <c r="E1083" s="124">
        <v>30.435748462064254</v>
      </c>
      <c r="F1083" s="124">
        <v>12.367566643882432</v>
      </c>
      <c r="G1083" s="124">
        <v>86.875</v>
      </c>
      <c r="H1083" s="146">
        <v>86.875</v>
      </c>
      <c r="I1083" s="146">
        <v>56.439251537935746</v>
      </c>
      <c r="J1083" s="146">
        <v>99.242566643882427</v>
      </c>
      <c r="K1083" s="445">
        <f t="shared" si="36"/>
        <v>-13.125</v>
      </c>
      <c r="L1083" s="445">
        <f t="shared" si="37"/>
        <v>-43.560748462064254</v>
      </c>
      <c r="M1083" s="445">
        <f t="shared" si="38"/>
        <v>-0.75743335611757345</v>
      </c>
    </row>
    <row r="1084" spans="1:13" s="439" customFormat="1" x14ac:dyDescent="0.3">
      <c r="A1084" s="124" t="s">
        <v>756</v>
      </c>
      <c r="B1084" s="146" t="s">
        <v>1059</v>
      </c>
      <c r="C1084" s="124" t="s">
        <v>1056</v>
      </c>
      <c r="D1084" s="146" t="s">
        <v>1053</v>
      </c>
      <c r="E1084" s="124">
        <v>9.6356421356421365</v>
      </c>
      <c r="F1084" s="124">
        <v>6.6594516594516593</v>
      </c>
      <c r="G1084" s="124">
        <v>94.375</v>
      </c>
      <c r="H1084" s="124">
        <v>94.375</v>
      </c>
      <c r="I1084" s="124">
        <v>84.739357864357856</v>
      </c>
      <c r="J1084" s="124">
        <v>101.03445165945166</v>
      </c>
      <c r="K1084" s="445">
        <f t="shared" si="36"/>
        <v>-5.625</v>
      </c>
      <c r="L1084" s="445">
        <f t="shared" si="37"/>
        <v>-15.260642135642144</v>
      </c>
      <c r="M1084" s="445">
        <f t="shared" si="38"/>
        <v>1.034451659451662</v>
      </c>
    </row>
    <row r="1085" spans="1:13" s="439" customFormat="1" x14ac:dyDescent="0.3">
      <c r="A1085" s="124" t="s">
        <v>756</v>
      </c>
      <c r="B1085" s="146" t="s">
        <v>1059</v>
      </c>
      <c r="C1085" s="146" t="s">
        <v>1057</v>
      </c>
      <c r="D1085" s="146" t="s">
        <v>1053</v>
      </c>
      <c r="E1085" s="124">
        <v>0</v>
      </c>
      <c r="F1085" s="124">
        <v>0</v>
      </c>
      <c r="G1085" s="124">
        <v>100</v>
      </c>
      <c r="H1085" s="124">
        <v>100</v>
      </c>
      <c r="I1085" s="124">
        <v>100</v>
      </c>
      <c r="J1085" s="124">
        <v>100</v>
      </c>
      <c r="K1085" s="445">
        <f t="shared" si="36"/>
        <v>0</v>
      </c>
      <c r="L1085" s="445">
        <f t="shared" si="37"/>
        <v>0</v>
      </c>
      <c r="M1085" s="445">
        <f t="shared" si="38"/>
        <v>0</v>
      </c>
    </row>
    <row r="1086" spans="1:13" s="439" customFormat="1" x14ac:dyDescent="0.3">
      <c r="A1086" s="124" t="s">
        <v>756</v>
      </c>
      <c r="B1086" s="146" t="s">
        <v>1059</v>
      </c>
      <c r="C1086" s="146" t="s">
        <v>1052</v>
      </c>
      <c r="D1086" s="146" t="s">
        <v>1054</v>
      </c>
      <c r="E1086" s="146">
        <v>40.291930291930292</v>
      </c>
      <c r="F1086" s="146">
        <v>20.517538017538016</v>
      </c>
      <c r="G1086" s="146">
        <v>75.625</v>
      </c>
      <c r="H1086" s="146">
        <v>75.625</v>
      </c>
      <c r="I1086" s="146">
        <v>35.333069708069708</v>
      </c>
      <c r="J1086" s="146">
        <v>96.142538017538016</v>
      </c>
      <c r="K1086" s="445">
        <f t="shared" si="36"/>
        <v>-24.375</v>
      </c>
      <c r="L1086" s="445">
        <f t="shared" si="37"/>
        <v>-64.666930291930299</v>
      </c>
      <c r="M1086" s="445">
        <f t="shared" si="38"/>
        <v>-3.8574619824619845</v>
      </c>
    </row>
    <row r="1087" spans="1:13" s="439" customFormat="1" x14ac:dyDescent="0.3">
      <c r="A1087" s="124" t="s">
        <v>756</v>
      </c>
      <c r="B1087" s="146" t="s">
        <v>1059</v>
      </c>
      <c r="C1087" s="124" t="s">
        <v>1056</v>
      </c>
      <c r="D1087" s="146" t="s">
        <v>1054</v>
      </c>
      <c r="E1087" s="124">
        <v>17.414946164946166</v>
      </c>
      <c r="F1087" s="124">
        <v>12.60538073038073</v>
      </c>
      <c r="G1087" s="124">
        <v>90</v>
      </c>
      <c r="H1087" s="124">
        <v>90</v>
      </c>
      <c r="I1087" s="124">
        <v>72.585053835053827</v>
      </c>
      <c r="J1087" s="124">
        <v>102.60538073038073</v>
      </c>
      <c r="K1087" s="445">
        <f t="shared" ref="K1087:K1150" si="39">0-(100-H1087)</f>
        <v>-10</v>
      </c>
      <c r="L1087" s="445">
        <f t="shared" ref="L1087:L1150" si="40">0-(100-I1087)</f>
        <v>-27.414946164946173</v>
      </c>
      <c r="M1087" s="445">
        <f t="shared" ref="M1087:M1150" si="41">0-(100-J1087)</f>
        <v>2.6053807303807304</v>
      </c>
    </row>
    <row r="1088" spans="1:13" s="439" customFormat="1" x14ac:dyDescent="0.3">
      <c r="A1088" s="124" t="s">
        <v>756</v>
      </c>
      <c r="B1088" s="146" t="s">
        <v>1059</v>
      </c>
      <c r="C1088" s="124" t="s">
        <v>1057</v>
      </c>
      <c r="D1088" s="146" t="s">
        <v>1054</v>
      </c>
      <c r="E1088" s="124">
        <v>22.366830065359476</v>
      </c>
      <c r="F1088" s="124">
        <v>7.3570261437908497</v>
      </c>
      <c r="G1088" s="124">
        <v>96.875</v>
      </c>
      <c r="H1088" s="124">
        <v>96.875</v>
      </c>
      <c r="I1088" s="124">
        <v>74.50816993464052</v>
      </c>
      <c r="J1088" s="124">
        <v>104.23202614379085</v>
      </c>
      <c r="K1088" s="445">
        <f t="shared" si="39"/>
        <v>-3.125</v>
      </c>
      <c r="L1088" s="445">
        <f t="shared" si="40"/>
        <v>-25.49183006535948</v>
      </c>
      <c r="M1088" s="445">
        <f t="shared" si="41"/>
        <v>4.2320261437908471</v>
      </c>
    </row>
    <row r="1089" spans="1:13" s="439" customFormat="1" x14ac:dyDescent="0.3">
      <c r="A1089" s="124" t="s">
        <v>756</v>
      </c>
      <c r="B1089" s="146" t="s">
        <v>1059</v>
      </c>
      <c r="C1089" s="146" t="s">
        <v>1052</v>
      </c>
      <c r="D1089" s="124" t="s">
        <v>1055</v>
      </c>
      <c r="E1089" s="124">
        <v>41.437420912420912</v>
      </c>
      <c r="F1089" s="124">
        <v>19.082833832833835</v>
      </c>
      <c r="G1089" s="124">
        <v>62.75</v>
      </c>
      <c r="H1089" s="124">
        <v>62.75</v>
      </c>
      <c r="I1089" s="124">
        <v>21.312579087579088</v>
      </c>
      <c r="J1089" s="124">
        <v>81.832833832833842</v>
      </c>
      <c r="K1089" s="445">
        <f t="shared" si="39"/>
        <v>-37.25</v>
      </c>
      <c r="L1089" s="445">
        <f t="shared" si="40"/>
        <v>-78.687420912420919</v>
      </c>
      <c r="M1089" s="445">
        <f t="shared" si="41"/>
        <v>-18.167166167166158</v>
      </c>
    </row>
    <row r="1090" spans="1:13" s="439" customFormat="1" x14ac:dyDescent="0.3">
      <c r="A1090" s="124" t="s">
        <v>756</v>
      </c>
      <c r="B1090" s="146" t="s">
        <v>1059</v>
      </c>
      <c r="C1090" s="124" t="s">
        <v>1056</v>
      </c>
      <c r="D1090" s="124" t="s">
        <v>1055</v>
      </c>
      <c r="E1090" s="124">
        <v>32.171620046620049</v>
      </c>
      <c r="F1090" s="124">
        <v>16.56172993672994</v>
      </c>
      <c r="G1090" s="124">
        <v>74.625</v>
      </c>
      <c r="H1090" s="124">
        <v>74.625</v>
      </c>
      <c r="I1090" s="124">
        <v>42.453379953379951</v>
      </c>
      <c r="J1090" s="124">
        <v>91.186729936729932</v>
      </c>
      <c r="K1090" s="445">
        <f t="shared" si="39"/>
        <v>-25.375</v>
      </c>
      <c r="L1090" s="445">
        <f t="shared" si="40"/>
        <v>-57.546620046620049</v>
      </c>
      <c r="M1090" s="445">
        <f t="shared" si="41"/>
        <v>-8.8132700632700676</v>
      </c>
    </row>
    <row r="1091" spans="1:13" s="439" customFormat="1" x14ac:dyDescent="0.3">
      <c r="A1091" s="124" t="s">
        <v>756</v>
      </c>
      <c r="B1091" s="146" t="s">
        <v>1059</v>
      </c>
      <c r="C1091" s="146" t="s">
        <v>1057</v>
      </c>
      <c r="D1091" s="146" t="s">
        <v>1055</v>
      </c>
      <c r="E1091" s="146">
        <v>30.900974025974023</v>
      </c>
      <c r="F1091" s="124">
        <v>12.395562770562771</v>
      </c>
      <c r="G1091" s="124">
        <v>77.125</v>
      </c>
      <c r="H1091" s="124">
        <v>77.125</v>
      </c>
      <c r="I1091" s="124">
        <v>46.224025974025977</v>
      </c>
      <c r="J1091" s="124">
        <v>89.520562770562776</v>
      </c>
      <c r="K1091" s="445">
        <f t="shared" si="39"/>
        <v>-22.875</v>
      </c>
      <c r="L1091" s="445">
        <f t="shared" si="40"/>
        <v>-53.775974025974023</v>
      </c>
      <c r="M1091" s="445">
        <f t="shared" si="41"/>
        <v>-10.479437229437224</v>
      </c>
    </row>
    <row r="1092" spans="1:13" s="439" customFormat="1" x14ac:dyDescent="0.3">
      <c r="A1092" s="124" t="s">
        <v>756</v>
      </c>
      <c r="B1092" s="146" t="s">
        <v>758</v>
      </c>
      <c r="C1092" s="146" t="s">
        <v>1052</v>
      </c>
      <c r="D1092" s="146" t="s">
        <v>1053</v>
      </c>
      <c r="E1092" s="146">
        <v>28.534798534798533</v>
      </c>
      <c r="F1092" s="146">
        <v>25.94017094017094</v>
      </c>
      <c r="G1092" s="146">
        <v>55</v>
      </c>
      <c r="H1092" s="146">
        <v>55</v>
      </c>
      <c r="I1092" s="146">
        <v>26.465201465201467</v>
      </c>
      <c r="J1092" s="146">
        <v>80.940170940170944</v>
      </c>
      <c r="K1092" s="445">
        <f t="shared" si="39"/>
        <v>-45</v>
      </c>
      <c r="L1092" s="445">
        <f t="shared" si="40"/>
        <v>-73.53479853479854</v>
      </c>
      <c r="M1092" s="445">
        <f t="shared" si="41"/>
        <v>-19.059829059829056</v>
      </c>
    </row>
    <row r="1093" spans="1:13" s="439" customFormat="1" x14ac:dyDescent="0.3">
      <c r="A1093" s="124" t="s">
        <v>756</v>
      </c>
      <c r="B1093" s="146" t="s">
        <v>758</v>
      </c>
      <c r="C1093" s="146" t="s">
        <v>1056</v>
      </c>
      <c r="D1093" s="146" t="s">
        <v>1053</v>
      </c>
      <c r="E1093" s="146">
        <v>28.144796380090497</v>
      </c>
      <c r="F1093" s="146">
        <v>15.705235940530059</v>
      </c>
      <c r="G1093" s="146">
        <v>82.142857142857139</v>
      </c>
      <c r="H1093" s="146">
        <v>82.142857142857139</v>
      </c>
      <c r="I1093" s="146">
        <v>53.998060762766642</v>
      </c>
      <c r="J1093" s="146">
        <v>97.848093083387198</v>
      </c>
      <c r="K1093" s="445">
        <f t="shared" si="39"/>
        <v>-17.857142857142861</v>
      </c>
      <c r="L1093" s="445">
        <f t="shared" si="40"/>
        <v>-46.001939237233358</v>
      </c>
      <c r="M1093" s="445">
        <f t="shared" si="41"/>
        <v>-2.151906916612802</v>
      </c>
    </row>
    <row r="1094" spans="1:13" s="439" customFormat="1" x14ac:dyDescent="0.3">
      <c r="A1094" s="124" t="s">
        <v>756</v>
      </c>
      <c r="B1094" s="146" t="s">
        <v>758</v>
      </c>
      <c r="C1094" s="146" t="s">
        <v>1057</v>
      </c>
      <c r="D1094" s="146" t="s">
        <v>1053</v>
      </c>
      <c r="E1094" s="146">
        <v>0</v>
      </c>
      <c r="F1094" s="146">
        <v>0</v>
      </c>
      <c r="G1094" s="146">
        <v>100</v>
      </c>
      <c r="H1094" s="146">
        <v>100</v>
      </c>
      <c r="I1094" s="146">
        <v>100</v>
      </c>
      <c r="J1094" s="146">
        <v>100</v>
      </c>
      <c r="K1094" s="445">
        <f t="shared" si="39"/>
        <v>0</v>
      </c>
      <c r="L1094" s="445">
        <f t="shared" si="40"/>
        <v>0</v>
      </c>
      <c r="M1094" s="445">
        <f t="shared" si="41"/>
        <v>0</v>
      </c>
    </row>
    <row r="1095" spans="1:13" s="439" customFormat="1" x14ac:dyDescent="0.3">
      <c r="A1095" s="124" t="s">
        <v>756</v>
      </c>
      <c r="B1095" s="146" t="s">
        <v>758</v>
      </c>
      <c r="C1095" s="146" t="s">
        <v>1052</v>
      </c>
      <c r="D1095" s="146" t="s">
        <v>1054</v>
      </c>
      <c r="E1095" s="124">
        <v>25.439560439560442</v>
      </c>
      <c r="F1095" s="124">
        <v>27.30769230769231</v>
      </c>
      <c r="G1095" s="124">
        <v>52.142857142857146</v>
      </c>
      <c r="H1095" s="124">
        <v>52.142857142857146</v>
      </c>
      <c r="I1095" s="124">
        <v>26.703296703296704</v>
      </c>
      <c r="J1095" s="124">
        <v>79.45054945054946</v>
      </c>
      <c r="K1095" s="445">
        <f t="shared" si="39"/>
        <v>-47.857142857142854</v>
      </c>
      <c r="L1095" s="445">
        <f t="shared" si="40"/>
        <v>-73.296703296703299</v>
      </c>
      <c r="M1095" s="445">
        <f t="shared" si="41"/>
        <v>-20.54945054945054</v>
      </c>
    </row>
    <row r="1096" spans="1:13" s="439" customFormat="1" x14ac:dyDescent="0.3">
      <c r="A1096" s="124" t="s">
        <v>756</v>
      </c>
      <c r="B1096" s="146" t="s">
        <v>758</v>
      </c>
      <c r="C1096" s="124" t="s">
        <v>1056</v>
      </c>
      <c r="D1096" s="146" t="s">
        <v>1054</v>
      </c>
      <c r="E1096" s="124">
        <v>31.853479853479854</v>
      </c>
      <c r="F1096" s="124">
        <v>21.842490842490839</v>
      </c>
      <c r="G1096" s="124">
        <v>77.857142857142861</v>
      </c>
      <c r="H1096" s="124">
        <v>77.857142857142861</v>
      </c>
      <c r="I1096" s="124">
        <v>46.003663003663007</v>
      </c>
      <c r="J1096" s="124">
        <v>99.699633699633694</v>
      </c>
      <c r="K1096" s="445">
        <f t="shared" si="39"/>
        <v>-22.142857142857139</v>
      </c>
      <c r="L1096" s="445">
        <f t="shared" si="40"/>
        <v>-53.996336996336993</v>
      </c>
      <c r="M1096" s="445">
        <f t="shared" si="41"/>
        <v>-0.3003663003663064</v>
      </c>
    </row>
    <row r="1097" spans="1:13" s="439" customFormat="1" x14ac:dyDescent="0.3">
      <c r="A1097" s="124" t="s">
        <v>756</v>
      </c>
      <c r="B1097" s="146" t="s">
        <v>758</v>
      </c>
      <c r="C1097" s="124" t="s">
        <v>1057</v>
      </c>
      <c r="D1097" s="146" t="s">
        <v>1054</v>
      </c>
      <c r="E1097" s="124">
        <v>22.858823529411762</v>
      </c>
      <c r="F1097" s="124">
        <v>10.852474323062557</v>
      </c>
      <c r="G1097" s="124">
        <v>93.571428571428569</v>
      </c>
      <c r="H1097" s="124">
        <v>93.571428571428569</v>
      </c>
      <c r="I1097" s="124">
        <v>70.712605042016804</v>
      </c>
      <c r="J1097" s="124">
        <v>104.42390289449112</v>
      </c>
      <c r="K1097" s="445">
        <f t="shared" si="39"/>
        <v>-6.4285714285714306</v>
      </c>
      <c r="L1097" s="445">
        <f t="shared" si="40"/>
        <v>-29.287394957983196</v>
      </c>
      <c r="M1097" s="445">
        <f t="shared" si="41"/>
        <v>4.4239028944911212</v>
      </c>
    </row>
    <row r="1098" spans="1:13" s="439" customFormat="1" x14ac:dyDescent="0.3">
      <c r="A1098" s="124" t="s">
        <v>756</v>
      </c>
      <c r="B1098" s="146" t="s">
        <v>758</v>
      </c>
      <c r="C1098" s="146" t="s">
        <v>1052</v>
      </c>
      <c r="D1098" s="124" t="s">
        <v>1055</v>
      </c>
      <c r="E1098" s="124">
        <v>25.172684458398745</v>
      </c>
      <c r="F1098" s="124">
        <v>28.893249607535321</v>
      </c>
      <c r="G1098" s="124">
        <v>56.428571428571431</v>
      </c>
      <c r="H1098" s="124">
        <v>56.428571428571431</v>
      </c>
      <c r="I1098" s="124">
        <v>31.255886970172686</v>
      </c>
      <c r="J1098" s="124">
        <v>85.321821036106755</v>
      </c>
      <c r="K1098" s="445">
        <f t="shared" si="39"/>
        <v>-43.571428571428569</v>
      </c>
      <c r="L1098" s="445">
        <f t="shared" si="40"/>
        <v>-68.744113029827318</v>
      </c>
      <c r="M1098" s="445">
        <f t="shared" si="41"/>
        <v>-14.678178963893245</v>
      </c>
    </row>
    <row r="1099" spans="1:13" s="439" customFormat="1" x14ac:dyDescent="0.3">
      <c r="A1099" s="124" t="s">
        <v>756</v>
      </c>
      <c r="B1099" s="146" t="s">
        <v>758</v>
      </c>
      <c r="C1099" s="124" t="s">
        <v>1056</v>
      </c>
      <c r="D1099" s="124" t="s">
        <v>1055</v>
      </c>
      <c r="E1099" s="124">
        <v>36.930926216640501</v>
      </c>
      <c r="F1099" s="124">
        <v>30.893249607535321</v>
      </c>
      <c r="G1099" s="124">
        <v>70.714285714285708</v>
      </c>
      <c r="H1099" s="124">
        <v>70.714285714285708</v>
      </c>
      <c r="I1099" s="124">
        <v>33.783359497645208</v>
      </c>
      <c r="J1099" s="124">
        <v>101.60753532182103</v>
      </c>
      <c r="K1099" s="445">
        <f t="shared" si="39"/>
        <v>-29.285714285714292</v>
      </c>
      <c r="L1099" s="445">
        <f t="shared" si="40"/>
        <v>-66.216640502354792</v>
      </c>
      <c r="M1099" s="445">
        <f t="shared" si="41"/>
        <v>1.6075353218210324</v>
      </c>
    </row>
    <row r="1100" spans="1:13" s="439" customFormat="1" x14ac:dyDescent="0.3">
      <c r="A1100" s="124" t="s">
        <v>756</v>
      </c>
      <c r="B1100" s="146" t="s">
        <v>758</v>
      </c>
      <c r="C1100" s="146" t="s">
        <v>1057</v>
      </c>
      <c r="D1100" s="146" t="s">
        <v>1055</v>
      </c>
      <c r="E1100" s="146">
        <v>24.385347985347984</v>
      </c>
      <c r="F1100" s="124">
        <v>24.699633699633697</v>
      </c>
      <c r="G1100" s="124">
        <v>79.285714285714292</v>
      </c>
      <c r="H1100" s="124">
        <v>79.285714285714292</v>
      </c>
      <c r="I1100" s="124">
        <v>54.900366300366308</v>
      </c>
      <c r="J1100" s="124">
        <v>103.98534798534799</v>
      </c>
      <c r="K1100" s="445">
        <f t="shared" si="39"/>
        <v>-20.714285714285708</v>
      </c>
      <c r="L1100" s="445">
        <f t="shared" si="40"/>
        <v>-45.099633699633692</v>
      </c>
      <c r="M1100" s="445">
        <f t="shared" si="41"/>
        <v>3.9853479853479854</v>
      </c>
    </row>
    <row r="1101" spans="1:13" s="439" customFormat="1" x14ac:dyDescent="0.3">
      <c r="A1101" s="124" t="s">
        <v>756</v>
      </c>
      <c r="B1101" s="146" t="s">
        <v>776</v>
      </c>
      <c r="C1101" s="146" t="s">
        <v>1052</v>
      </c>
      <c r="D1101" s="146" t="s">
        <v>1053</v>
      </c>
      <c r="E1101" s="124">
        <v>25.213326356183497</v>
      </c>
      <c r="F1101" s="124">
        <v>18.102215245072387</v>
      </c>
      <c r="G1101" s="124">
        <v>77.142857142857139</v>
      </c>
      <c r="H1101" s="124">
        <v>77.142857142857139</v>
      </c>
      <c r="I1101" s="124">
        <v>51.929530786673638</v>
      </c>
      <c r="J1101" s="124">
        <v>95.245072387929525</v>
      </c>
      <c r="K1101" s="445">
        <f t="shared" si="39"/>
        <v>-22.857142857142861</v>
      </c>
      <c r="L1101" s="445">
        <f t="shared" si="40"/>
        <v>-48.070469213326362</v>
      </c>
      <c r="M1101" s="445">
        <f t="shared" si="41"/>
        <v>-4.7549276120704747</v>
      </c>
    </row>
    <row r="1102" spans="1:13" s="439" customFormat="1" x14ac:dyDescent="0.3">
      <c r="A1102" s="124" t="s">
        <v>756</v>
      </c>
      <c r="B1102" s="146" t="s">
        <v>776</v>
      </c>
      <c r="C1102" s="124" t="s">
        <v>1056</v>
      </c>
      <c r="D1102" s="124" t="s">
        <v>1053</v>
      </c>
      <c r="E1102" s="124">
        <v>15.226623982926503</v>
      </c>
      <c r="F1102" s="124">
        <v>6.5351473922902485</v>
      </c>
      <c r="G1102" s="124">
        <v>92.142857142857139</v>
      </c>
      <c r="H1102" s="124">
        <v>92.142857142857139</v>
      </c>
      <c r="I1102" s="124">
        <v>76.916233159930641</v>
      </c>
      <c r="J1102" s="124">
        <v>98.67800453514738</v>
      </c>
      <c r="K1102" s="445">
        <f t="shared" si="39"/>
        <v>-7.8571428571428612</v>
      </c>
      <c r="L1102" s="445">
        <f t="shared" si="40"/>
        <v>-23.083766840069359</v>
      </c>
      <c r="M1102" s="445">
        <f t="shared" si="41"/>
        <v>-1.3219954648526198</v>
      </c>
    </row>
    <row r="1103" spans="1:13" s="439" customFormat="1" x14ac:dyDescent="0.3">
      <c r="A1103" s="124" t="s">
        <v>756</v>
      </c>
      <c r="B1103" s="146" t="s">
        <v>776</v>
      </c>
      <c r="C1103" s="146" t="s">
        <v>1057</v>
      </c>
      <c r="D1103" s="146" t="s">
        <v>1053</v>
      </c>
      <c r="E1103" s="146">
        <v>0</v>
      </c>
      <c r="F1103" s="146">
        <v>0</v>
      </c>
      <c r="G1103" s="146">
        <v>100</v>
      </c>
      <c r="H1103" s="146">
        <v>100</v>
      </c>
      <c r="I1103" s="146">
        <v>100</v>
      </c>
      <c r="J1103" s="146">
        <v>100</v>
      </c>
      <c r="K1103" s="445">
        <f t="shared" si="39"/>
        <v>0</v>
      </c>
      <c r="L1103" s="445">
        <f t="shared" si="40"/>
        <v>0</v>
      </c>
      <c r="M1103" s="445">
        <f t="shared" si="41"/>
        <v>0</v>
      </c>
    </row>
    <row r="1104" spans="1:13" s="439" customFormat="1" x14ac:dyDescent="0.3">
      <c r="A1104" s="124" t="s">
        <v>756</v>
      </c>
      <c r="B1104" s="146" t="s">
        <v>776</v>
      </c>
      <c r="C1104" s="146" t="s">
        <v>1052</v>
      </c>
      <c r="D1104" s="146" t="s">
        <v>1054</v>
      </c>
      <c r="E1104" s="124">
        <v>27.209663352520497</v>
      </c>
      <c r="F1104" s="124">
        <v>23.159776731205302</v>
      </c>
      <c r="G1104" s="124">
        <v>75.714285714285708</v>
      </c>
      <c r="H1104" s="124">
        <v>75.714285714285708</v>
      </c>
      <c r="I1104" s="124">
        <v>48.504622361765215</v>
      </c>
      <c r="J1104" s="124">
        <v>98.874062445491006</v>
      </c>
      <c r="K1104" s="445">
        <f t="shared" si="39"/>
        <v>-24.285714285714292</v>
      </c>
      <c r="L1104" s="445">
        <f t="shared" si="40"/>
        <v>-51.495377638234785</v>
      </c>
      <c r="M1104" s="445">
        <f t="shared" si="41"/>
        <v>-1.1259375545089938</v>
      </c>
    </row>
    <row r="1105" spans="1:13" s="439" customFormat="1" x14ac:dyDescent="0.3">
      <c r="A1105" s="124" t="s">
        <v>756</v>
      </c>
      <c r="B1105" s="146" t="s">
        <v>776</v>
      </c>
      <c r="C1105" s="124" t="s">
        <v>1056</v>
      </c>
      <c r="D1105" s="146" t="s">
        <v>1054</v>
      </c>
      <c r="E1105" s="124">
        <v>16.574149659863945</v>
      </c>
      <c r="F1105" s="124">
        <v>9.6439909297052147</v>
      </c>
      <c r="G1105" s="124">
        <v>91.428571428571431</v>
      </c>
      <c r="H1105" s="124">
        <v>91.428571428571431</v>
      </c>
      <c r="I1105" s="124">
        <v>74.854421768707482</v>
      </c>
      <c r="J1105" s="124">
        <v>101.07256235827664</v>
      </c>
      <c r="K1105" s="445">
        <f t="shared" si="39"/>
        <v>-8.5714285714285694</v>
      </c>
      <c r="L1105" s="445">
        <f t="shared" si="40"/>
        <v>-25.145578231292518</v>
      </c>
      <c r="M1105" s="445">
        <f t="shared" si="41"/>
        <v>1.0725623582766417</v>
      </c>
    </row>
    <row r="1106" spans="1:13" s="439" customFormat="1" x14ac:dyDescent="0.3">
      <c r="A1106" s="124" t="s">
        <v>756</v>
      </c>
      <c r="B1106" s="146" t="s">
        <v>776</v>
      </c>
      <c r="C1106" s="124" t="s">
        <v>1057</v>
      </c>
      <c r="D1106" s="146" t="s">
        <v>1054</v>
      </c>
      <c r="E1106" s="124">
        <v>10.004855275443512</v>
      </c>
      <c r="F1106" s="124">
        <v>4.0746965452847812</v>
      </c>
      <c r="G1106" s="124">
        <v>99</v>
      </c>
      <c r="H1106" s="124">
        <v>99</v>
      </c>
      <c r="I1106" s="124">
        <v>88.995144724556482</v>
      </c>
      <c r="J1106" s="124">
        <v>103.07469654528478</v>
      </c>
      <c r="K1106" s="445">
        <f t="shared" si="39"/>
        <v>-1</v>
      </c>
      <c r="L1106" s="445">
        <f t="shared" si="40"/>
        <v>-11.004855275443518</v>
      </c>
      <c r="M1106" s="445">
        <f t="shared" si="41"/>
        <v>3.0746965452847803</v>
      </c>
    </row>
    <row r="1107" spans="1:13" s="439" customFormat="1" x14ac:dyDescent="0.3">
      <c r="A1107" s="124" t="s">
        <v>756</v>
      </c>
      <c r="B1107" s="146" t="s">
        <v>776</v>
      </c>
      <c r="C1107" s="146" t="s">
        <v>1052</v>
      </c>
      <c r="D1107" s="124" t="s">
        <v>1055</v>
      </c>
      <c r="E1107" s="146">
        <v>21.217163788592359</v>
      </c>
      <c r="F1107" s="124">
        <v>10.873888016745157</v>
      </c>
      <c r="G1107" s="124">
        <v>88.571428571428569</v>
      </c>
      <c r="H1107" s="124">
        <v>88.571428571428569</v>
      </c>
      <c r="I1107" s="124">
        <v>67.354264782836211</v>
      </c>
      <c r="J1107" s="124">
        <v>99.445316588173725</v>
      </c>
      <c r="K1107" s="445">
        <f t="shared" si="39"/>
        <v>-11.428571428571431</v>
      </c>
      <c r="L1107" s="445">
        <f t="shared" si="40"/>
        <v>-32.645735217163789</v>
      </c>
      <c r="M1107" s="445">
        <f t="shared" si="41"/>
        <v>-0.55468341182627512</v>
      </c>
    </row>
    <row r="1108" spans="1:13" s="439" customFormat="1" x14ac:dyDescent="0.3">
      <c r="A1108" s="124" t="s">
        <v>756</v>
      </c>
      <c r="B1108" s="146" t="s">
        <v>776</v>
      </c>
      <c r="C1108" s="146" t="s">
        <v>1056</v>
      </c>
      <c r="D1108" s="124" t="s">
        <v>1055</v>
      </c>
      <c r="E1108" s="146">
        <v>16.77498691784406</v>
      </c>
      <c r="F1108" s="124">
        <v>10.634397348683063</v>
      </c>
      <c r="G1108" s="124">
        <v>92.857142857142861</v>
      </c>
      <c r="H1108" s="124">
        <v>92.857142857142861</v>
      </c>
      <c r="I1108" s="124">
        <v>76.082155939298801</v>
      </c>
      <c r="J1108" s="124">
        <v>103.49154020582593</v>
      </c>
      <c r="K1108" s="445">
        <f t="shared" si="39"/>
        <v>-7.1428571428571388</v>
      </c>
      <c r="L1108" s="445">
        <f t="shared" si="40"/>
        <v>-23.917844060701199</v>
      </c>
      <c r="M1108" s="445">
        <f t="shared" si="41"/>
        <v>3.4915402058259275</v>
      </c>
    </row>
    <row r="1109" spans="1:13" s="439" customFormat="1" x14ac:dyDescent="0.3">
      <c r="A1109" s="124" t="s">
        <v>756</v>
      </c>
      <c r="B1109" s="146" t="s">
        <v>776</v>
      </c>
      <c r="C1109" s="146" t="s">
        <v>1057</v>
      </c>
      <c r="D1109" s="146" t="s">
        <v>1055</v>
      </c>
      <c r="E1109" s="146">
        <v>14.621048419367749</v>
      </c>
      <c r="F1109" s="124">
        <v>8.5938375350140053</v>
      </c>
      <c r="G1109" s="124">
        <v>95</v>
      </c>
      <c r="H1109" s="124">
        <v>95</v>
      </c>
      <c r="I1109" s="124">
        <v>80.378951580632247</v>
      </c>
      <c r="J1109" s="124">
        <v>103.593837535014</v>
      </c>
      <c r="K1109" s="445">
        <f t="shared" si="39"/>
        <v>-5</v>
      </c>
      <c r="L1109" s="445">
        <f t="shared" si="40"/>
        <v>-19.621048419367753</v>
      </c>
      <c r="M1109" s="445">
        <f t="shared" si="41"/>
        <v>3.5938375350140035</v>
      </c>
    </row>
    <row r="1110" spans="1:13" s="439" customFormat="1" x14ac:dyDescent="0.3">
      <c r="A1110" s="124" t="s">
        <v>756</v>
      </c>
      <c r="B1110" s="146" t="s">
        <v>801</v>
      </c>
      <c r="C1110" s="146" t="s">
        <v>1052</v>
      </c>
      <c r="D1110" s="146" t="s">
        <v>1053</v>
      </c>
      <c r="E1110" s="124">
        <v>31.08058608058608</v>
      </c>
      <c r="F1110" s="124">
        <v>12.655677655677659</v>
      </c>
      <c r="G1110" s="124">
        <v>78.571428571428569</v>
      </c>
      <c r="H1110" s="124">
        <v>78.571428571428569</v>
      </c>
      <c r="I1110" s="124">
        <v>47.490842490842489</v>
      </c>
      <c r="J1110" s="124">
        <v>91.227106227106233</v>
      </c>
      <c r="K1110" s="445">
        <f t="shared" si="39"/>
        <v>-21.428571428571431</v>
      </c>
      <c r="L1110" s="445">
        <f t="shared" si="40"/>
        <v>-52.509157509157511</v>
      </c>
      <c r="M1110" s="445">
        <f t="shared" si="41"/>
        <v>-8.7728937728937666</v>
      </c>
    </row>
    <row r="1111" spans="1:13" s="439" customFormat="1" x14ac:dyDescent="0.3">
      <c r="A1111" s="124" t="s">
        <v>756</v>
      </c>
      <c r="B1111" s="146" t="s">
        <v>801</v>
      </c>
      <c r="C1111" s="124" t="s">
        <v>1056</v>
      </c>
      <c r="D1111" s="124" t="s">
        <v>1053</v>
      </c>
      <c r="E1111" s="124">
        <v>14.226100696688931</v>
      </c>
      <c r="F1111" s="124">
        <v>8.9010989010989015</v>
      </c>
      <c r="G1111" s="124">
        <v>90</v>
      </c>
      <c r="H1111" s="124">
        <v>90</v>
      </c>
      <c r="I1111" s="124">
        <v>75.773899303311069</v>
      </c>
      <c r="J1111" s="124">
        <v>98.901098901098905</v>
      </c>
      <c r="K1111" s="445">
        <f t="shared" si="39"/>
        <v>-10</v>
      </c>
      <c r="L1111" s="445">
        <f t="shared" si="40"/>
        <v>-24.226100696688931</v>
      </c>
      <c r="M1111" s="445">
        <f t="shared" si="41"/>
        <v>-1.098901098901095</v>
      </c>
    </row>
    <row r="1112" spans="1:13" s="439" customFormat="1" x14ac:dyDescent="0.3">
      <c r="A1112" s="124" t="s">
        <v>756</v>
      </c>
      <c r="B1112" s="146" t="s">
        <v>801</v>
      </c>
      <c r="C1112" s="146" t="s">
        <v>1057</v>
      </c>
      <c r="D1112" s="146" t="s">
        <v>1053</v>
      </c>
      <c r="E1112" s="124">
        <v>0</v>
      </c>
      <c r="F1112" s="124">
        <v>0</v>
      </c>
      <c r="G1112" s="124">
        <v>100</v>
      </c>
      <c r="H1112" s="124">
        <v>100</v>
      </c>
      <c r="I1112" s="124">
        <v>100</v>
      </c>
      <c r="J1112" s="124">
        <v>100</v>
      </c>
      <c r="K1112" s="445">
        <f t="shared" si="39"/>
        <v>0</v>
      </c>
      <c r="L1112" s="445">
        <f t="shared" si="40"/>
        <v>0</v>
      </c>
      <c r="M1112" s="445">
        <f t="shared" si="41"/>
        <v>0</v>
      </c>
    </row>
    <row r="1113" spans="1:13" s="439" customFormat="1" x14ac:dyDescent="0.3">
      <c r="A1113" s="124" t="s">
        <v>756</v>
      </c>
      <c r="B1113" s="146" t="s">
        <v>801</v>
      </c>
      <c r="C1113" s="146" t="s">
        <v>1052</v>
      </c>
      <c r="D1113" s="146" t="s">
        <v>1054</v>
      </c>
      <c r="E1113" s="124">
        <v>38.806384092098376</v>
      </c>
      <c r="F1113" s="124">
        <v>14.976975405546835</v>
      </c>
      <c r="G1113" s="124">
        <v>80.857142857142861</v>
      </c>
      <c r="H1113" s="124">
        <v>80.857142857142861</v>
      </c>
      <c r="I1113" s="124">
        <v>42.050758765044485</v>
      </c>
      <c r="J1113" s="124">
        <v>95.834118262689699</v>
      </c>
      <c r="K1113" s="445">
        <f t="shared" si="39"/>
        <v>-19.142857142857139</v>
      </c>
      <c r="L1113" s="445">
        <f t="shared" si="40"/>
        <v>-57.949241234955515</v>
      </c>
      <c r="M1113" s="445">
        <f t="shared" si="41"/>
        <v>-4.1658817373103005</v>
      </c>
    </row>
    <row r="1114" spans="1:13" s="439" customFormat="1" x14ac:dyDescent="0.3">
      <c r="A1114" s="124" t="s">
        <v>756</v>
      </c>
      <c r="B1114" s="146" t="s">
        <v>801</v>
      </c>
      <c r="C1114" s="124" t="s">
        <v>1056</v>
      </c>
      <c r="D1114" s="146" t="s">
        <v>1054</v>
      </c>
      <c r="E1114" s="124">
        <v>21.697889412175126</v>
      </c>
      <c r="F1114" s="124">
        <v>7.0099424385138667</v>
      </c>
      <c r="G1114" s="124">
        <v>92.857142857142861</v>
      </c>
      <c r="H1114" s="124">
        <v>92.857142857142861</v>
      </c>
      <c r="I1114" s="124">
        <v>71.159253444967732</v>
      </c>
      <c r="J1114" s="124">
        <v>99.867085295656722</v>
      </c>
      <c r="K1114" s="445">
        <f t="shared" si="39"/>
        <v>-7.1428571428571388</v>
      </c>
      <c r="L1114" s="445">
        <f t="shared" si="40"/>
        <v>-28.840746555032268</v>
      </c>
      <c r="M1114" s="445">
        <f t="shared" si="41"/>
        <v>-0.13291470434327834</v>
      </c>
    </row>
    <row r="1115" spans="1:13" s="439" customFormat="1" x14ac:dyDescent="0.3">
      <c r="A1115" s="124" t="s">
        <v>756</v>
      </c>
      <c r="B1115" s="146" t="s">
        <v>801</v>
      </c>
      <c r="C1115" s="124" t="s">
        <v>1057</v>
      </c>
      <c r="D1115" s="146" t="s">
        <v>1054</v>
      </c>
      <c r="E1115" s="124">
        <v>5.7508870214752568</v>
      </c>
      <c r="F1115" s="124">
        <v>5.4969187675070028</v>
      </c>
      <c r="G1115" s="124">
        <v>100</v>
      </c>
      <c r="H1115" s="124">
        <v>100</v>
      </c>
      <c r="I1115" s="124">
        <v>94.249112978524749</v>
      </c>
      <c r="J1115" s="124">
        <v>105.496918767507</v>
      </c>
      <c r="K1115" s="445">
        <f t="shared" si="39"/>
        <v>0</v>
      </c>
      <c r="L1115" s="445">
        <f t="shared" si="40"/>
        <v>-5.7508870214752505</v>
      </c>
      <c r="M1115" s="445">
        <f t="shared" si="41"/>
        <v>5.4969187675069975</v>
      </c>
    </row>
    <row r="1116" spans="1:13" s="439" customFormat="1" x14ac:dyDescent="0.3">
      <c r="A1116" s="124" t="s">
        <v>756</v>
      </c>
      <c r="B1116" s="146" t="s">
        <v>801</v>
      </c>
      <c r="C1116" s="146" t="s">
        <v>1052</v>
      </c>
      <c r="D1116" s="146" t="s">
        <v>1055</v>
      </c>
      <c r="E1116" s="146">
        <v>33.525902668759812</v>
      </c>
      <c r="F1116" s="146">
        <v>9.2684458398744116</v>
      </c>
      <c r="G1116" s="146">
        <v>93.142857142857139</v>
      </c>
      <c r="H1116" s="146">
        <v>93.142857142857139</v>
      </c>
      <c r="I1116" s="146">
        <v>59.616954474097327</v>
      </c>
      <c r="J1116" s="146">
        <v>102.41130298273156</v>
      </c>
      <c r="K1116" s="445">
        <f t="shared" si="39"/>
        <v>-6.8571428571428612</v>
      </c>
      <c r="L1116" s="445">
        <f t="shared" si="40"/>
        <v>-40.383045525902673</v>
      </c>
      <c r="M1116" s="445">
        <f t="shared" si="41"/>
        <v>2.4113029827315557</v>
      </c>
    </row>
    <row r="1117" spans="1:13" s="439" customFormat="1" x14ac:dyDescent="0.3">
      <c r="A1117" s="124" t="s">
        <v>756</v>
      </c>
      <c r="B1117" s="146" t="s">
        <v>801</v>
      </c>
      <c r="C1117" s="146" t="s">
        <v>1056</v>
      </c>
      <c r="D1117" s="146" t="s">
        <v>1055</v>
      </c>
      <c r="E1117" s="146">
        <v>21.070120355834639</v>
      </c>
      <c r="F1117" s="146">
        <v>11.781789638932496</v>
      </c>
      <c r="G1117" s="146">
        <v>95.714285714285708</v>
      </c>
      <c r="H1117" s="146">
        <v>95.714285714285708</v>
      </c>
      <c r="I1117" s="146">
        <v>74.644165358451062</v>
      </c>
      <c r="J1117" s="146">
        <v>107.4960753532182</v>
      </c>
      <c r="K1117" s="445">
        <f t="shared" si="39"/>
        <v>-4.2857142857142918</v>
      </c>
      <c r="L1117" s="445">
        <f t="shared" si="40"/>
        <v>-25.355834641548938</v>
      </c>
      <c r="M1117" s="445">
        <f t="shared" si="41"/>
        <v>7.4960753532182025</v>
      </c>
    </row>
    <row r="1118" spans="1:13" s="439" customFormat="1" x14ac:dyDescent="0.3">
      <c r="A1118" s="124" t="s">
        <v>756</v>
      </c>
      <c r="B1118" s="146" t="s">
        <v>801</v>
      </c>
      <c r="C1118" s="146" t="s">
        <v>1057</v>
      </c>
      <c r="D1118" s="146" t="s">
        <v>1055</v>
      </c>
      <c r="E1118" s="146">
        <v>8.2885872297637011</v>
      </c>
      <c r="F1118" s="146">
        <v>9.3874883286647997</v>
      </c>
      <c r="G1118" s="146">
        <v>100</v>
      </c>
      <c r="H1118" s="146">
        <v>100</v>
      </c>
      <c r="I1118" s="146">
        <v>91.711412770236294</v>
      </c>
      <c r="J1118" s="146">
        <v>109.3874883286648</v>
      </c>
      <c r="K1118" s="445">
        <f t="shared" si="39"/>
        <v>0</v>
      </c>
      <c r="L1118" s="445">
        <f t="shared" si="40"/>
        <v>-8.2885872297637064</v>
      </c>
      <c r="M1118" s="445">
        <f t="shared" si="41"/>
        <v>9.3874883286648014</v>
      </c>
    </row>
    <row r="1119" spans="1:13" s="439" customFormat="1" x14ac:dyDescent="0.3">
      <c r="A1119" s="124" t="s">
        <v>756</v>
      </c>
      <c r="B1119" s="146" t="s">
        <v>1060</v>
      </c>
      <c r="C1119" s="146" t="s">
        <v>1052</v>
      </c>
      <c r="D1119" s="146" t="s">
        <v>1053</v>
      </c>
      <c r="E1119" s="124">
        <v>18.956043956043956</v>
      </c>
      <c r="F1119" s="124">
        <v>16.16758241758242</v>
      </c>
      <c r="G1119" s="124">
        <v>76.25</v>
      </c>
      <c r="H1119" s="124">
        <v>76.25</v>
      </c>
      <c r="I1119" s="124">
        <v>57.293956043956044</v>
      </c>
      <c r="J1119" s="124">
        <v>92.417582417582423</v>
      </c>
      <c r="K1119" s="445">
        <f t="shared" si="39"/>
        <v>-23.75</v>
      </c>
      <c r="L1119" s="445">
        <f t="shared" si="40"/>
        <v>-42.706043956043956</v>
      </c>
      <c r="M1119" s="445">
        <f t="shared" si="41"/>
        <v>-7.5824175824175768</v>
      </c>
    </row>
    <row r="1120" spans="1:13" s="439" customFormat="1" x14ac:dyDescent="0.3">
      <c r="A1120" s="124" t="s">
        <v>756</v>
      </c>
      <c r="B1120" s="146" t="s">
        <v>1060</v>
      </c>
      <c r="C1120" s="124" t="s">
        <v>1056</v>
      </c>
      <c r="D1120" s="124" t="s">
        <v>1053</v>
      </c>
      <c r="E1120" s="124">
        <v>19.330011491776197</v>
      </c>
      <c r="F1120" s="124">
        <v>8.7844932844932853</v>
      </c>
      <c r="G1120" s="124">
        <v>90.625</v>
      </c>
      <c r="H1120" s="124">
        <v>90.625</v>
      </c>
      <c r="I1120" s="124">
        <v>71.29498850822381</v>
      </c>
      <c r="J1120" s="124">
        <v>99.40949328449328</v>
      </c>
      <c r="K1120" s="445">
        <f t="shared" si="39"/>
        <v>-9.375</v>
      </c>
      <c r="L1120" s="445">
        <f t="shared" si="40"/>
        <v>-28.70501149177619</v>
      </c>
      <c r="M1120" s="445">
        <f t="shared" si="41"/>
        <v>-0.59050671550672007</v>
      </c>
    </row>
    <row r="1121" spans="1:13" s="439" customFormat="1" x14ac:dyDescent="0.3">
      <c r="A1121" s="124" t="s">
        <v>756</v>
      </c>
      <c r="B1121" s="146" t="s">
        <v>1060</v>
      </c>
      <c r="C1121" s="146" t="s">
        <v>1057</v>
      </c>
      <c r="D1121" s="146" t="s">
        <v>1053</v>
      </c>
      <c r="E1121" s="124">
        <v>0</v>
      </c>
      <c r="F1121" s="124">
        <v>0</v>
      </c>
      <c r="G1121" s="124">
        <v>100</v>
      </c>
      <c r="H1121" s="124">
        <v>100</v>
      </c>
      <c r="I1121" s="124">
        <v>100</v>
      </c>
      <c r="J1121" s="124">
        <v>100</v>
      </c>
      <c r="K1121" s="445">
        <f t="shared" si="39"/>
        <v>0</v>
      </c>
      <c r="L1121" s="445">
        <f t="shared" si="40"/>
        <v>0</v>
      </c>
      <c r="M1121" s="445">
        <f t="shared" si="41"/>
        <v>0</v>
      </c>
    </row>
    <row r="1122" spans="1:13" s="439" customFormat="1" x14ac:dyDescent="0.3">
      <c r="A1122" s="124" t="s">
        <v>756</v>
      </c>
      <c r="B1122" s="146" t="s">
        <v>1060</v>
      </c>
      <c r="C1122" s="146" t="s">
        <v>1052</v>
      </c>
      <c r="D1122" s="146" t="s">
        <v>1054</v>
      </c>
      <c r="E1122" s="124">
        <v>26.448870573870572</v>
      </c>
      <c r="F1122" s="124">
        <v>20.56517094017094</v>
      </c>
      <c r="G1122" s="124">
        <v>75</v>
      </c>
      <c r="H1122" s="124">
        <v>75</v>
      </c>
      <c r="I1122" s="124">
        <v>48.551129426129428</v>
      </c>
      <c r="J1122" s="124">
        <v>95.565170940170944</v>
      </c>
      <c r="K1122" s="445">
        <f t="shared" si="39"/>
        <v>-25</v>
      </c>
      <c r="L1122" s="445">
        <f t="shared" si="40"/>
        <v>-51.448870573870572</v>
      </c>
      <c r="M1122" s="445">
        <f t="shared" si="41"/>
        <v>-4.4348290598290561</v>
      </c>
    </row>
    <row r="1123" spans="1:13" s="439" customFormat="1" x14ac:dyDescent="0.3">
      <c r="A1123" s="124" t="s">
        <v>756</v>
      </c>
      <c r="B1123" s="146" t="s">
        <v>1060</v>
      </c>
      <c r="C1123" s="124" t="s">
        <v>1056</v>
      </c>
      <c r="D1123" s="146" t="s">
        <v>1054</v>
      </c>
      <c r="E1123" s="124">
        <v>22.978327228327228</v>
      </c>
      <c r="F1123" s="124">
        <v>13.26129426129426</v>
      </c>
      <c r="G1123" s="124">
        <v>89.375</v>
      </c>
      <c r="H1123" s="124">
        <v>89.375</v>
      </c>
      <c r="I1123" s="124">
        <v>66.396672771672769</v>
      </c>
      <c r="J1123" s="124">
        <v>102.63629426129427</v>
      </c>
      <c r="K1123" s="445">
        <f t="shared" si="39"/>
        <v>-10.625</v>
      </c>
      <c r="L1123" s="445">
        <f t="shared" si="40"/>
        <v>-33.603327228327231</v>
      </c>
      <c r="M1123" s="445">
        <f t="shared" si="41"/>
        <v>2.6362942612942675</v>
      </c>
    </row>
    <row r="1124" spans="1:13" s="439" customFormat="1" x14ac:dyDescent="0.3">
      <c r="A1124" s="124" t="s">
        <v>756</v>
      </c>
      <c r="B1124" s="146" t="s">
        <v>1060</v>
      </c>
      <c r="C1124" s="124" t="s">
        <v>1057</v>
      </c>
      <c r="D1124" s="146" t="s">
        <v>1054</v>
      </c>
      <c r="E1124" s="124">
        <v>11.482026143790851</v>
      </c>
      <c r="F1124" s="124">
        <v>4.2320261437908497</v>
      </c>
      <c r="G1124" s="124">
        <v>98.75</v>
      </c>
      <c r="H1124" s="124">
        <v>98.75</v>
      </c>
      <c r="I1124" s="124">
        <v>87.267973856209153</v>
      </c>
      <c r="J1124" s="124">
        <v>102.98202614379085</v>
      </c>
      <c r="K1124" s="445">
        <f t="shared" si="39"/>
        <v>-1.25</v>
      </c>
      <c r="L1124" s="445">
        <f t="shared" si="40"/>
        <v>-12.732026143790847</v>
      </c>
      <c r="M1124" s="445">
        <f t="shared" si="41"/>
        <v>2.9820261437908471</v>
      </c>
    </row>
    <row r="1125" spans="1:13" s="439" customFormat="1" x14ac:dyDescent="0.3">
      <c r="A1125" s="124" t="s">
        <v>756</v>
      </c>
      <c r="B1125" s="146" t="s">
        <v>1060</v>
      </c>
      <c r="C1125" s="146" t="s">
        <v>1052</v>
      </c>
      <c r="D1125" s="146" t="s">
        <v>1055</v>
      </c>
      <c r="E1125" s="146">
        <v>25.409798534798536</v>
      </c>
      <c r="F1125" s="146">
        <v>12.024572649572647</v>
      </c>
      <c r="G1125" s="146">
        <v>85.625</v>
      </c>
      <c r="H1125" s="146">
        <v>85.625</v>
      </c>
      <c r="I1125" s="146">
        <v>60.21520146520146</v>
      </c>
      <c r="J1125" s="146">
        <v>97.649572649572647</v>
      </c>
      <c r="K1125" s="445">
        <f t="shared" si="39"/>
        <v>-14.375</v>
      </c>
      <c r="L1125" s="445">
        <f t="shared" si="40"/>
        <v>-39.78479853479854</v>
      </c>
      <c r="M1125" s="445">
        <f t="shared" si="41"/>
        <v>-2.3504273504273527</v>
      </c>
    </row>
    <row r="1126" spans="1:13" s="439" customFormat="1" x14ac:dyDescent="0.3">
      <c r="A1126" s="124" t="s">
        <v>756</v>
      </c>
      <c r="B1126" s="146" t="s">
        <v>1060</v>
      </c>
      <c r="C1126" s="146" t="s">
        <v>1056</v>
      </c>
      <c r="D1126" s="146" t="s">
        <v>1055</v>
      </c>
      <c r="E1126" s="146">
        <v>17.641941391941391</v>
      </c>
      <c r="F1126" s="146">
        <v>12.58089133089133</v>
      </c>
      <c r="G1126" s="146">
        <v>94.375</v>
      </c>
      <c r="H1126" s="146">
        <v>94.375</v>
      </c>
      <c r="I1126" s="146">
        <v>76.733058608058613</v>
      </c>
      <c r="J1126" s="146">
        <v>106.95589133089133</v>
      </c>
      <c r="K1126" s="445">
        <f t="shared" si="39"/>
        <v>-5.625</v>
      </c>
      <c r="L1126" s="445">
        <f t="shared" si="40"/>
        <v>-23.266941391941387</v>
      </c>
      <c r="M1126" s="445">
        <f t="shared" si="41"/>
        <v>6.9558913308913333</v>
      </c>
    </row>
    <row r="1127" spans="1:13" s="439" customFormat="1" x14ac:dyDescent="0.3">
      <c r="A1127" s="124" t="s">
        <v>756</v>
      </c>
      <c r="B1127" s="146" t="s">
        <v>1060</v>
      </c>
      <c r="C1127" s="146" t="s">
        <v>1057</v>
      </c>
      <c r="D1127" s="146" t="s">
        <v>1055</v>
      </c>
      <c r="E1127" s="146">
        <v>12.093783667313078</v>
      </c>
      <c r="F1127" s="146">
        <v>6.3211951447245553</v>
      </c>
      <c r="G1127" s="146">
        <v>98.125</v>
      </c>
      <c r="H1127" s="146">
        <v>98.125</v>
      </c>
      <c r="I1127" s="146">
        <v>86.031216332686924</v>
      </c>
      <c r="J1127" s="146">
        <v>104.44619514472456</v>
      </c>
      <c r="K1127" s="445">
        <f t="shared" si="39"/>
        <v>-1.875</v>
      </c>
      <c r="L1127" s="445">
        <f t="shared" si="40"/>
        <v>-13.968783667313076</v>
      </c>
      <c r="M1127" s="445">
        <f t="shared" si="41"/>
        <v>4.4461951447245553</v>
      </c>
    </row>
    <row r="1128" spans="1:13" s="439" customFormat="1" x14ac:dyDescent="0.3">
      <c r="A1128" s="124" t="s">
        <v>756</v>
      </c>
      <c r="B1128" s="146" t="s">
        <v>1061</v>
      </c>
      <c r="C1128" s="146" t="s">
        <v>1052</v>
      </c>
      <c r="D1128" s="146" t="s">
        <v>1053</v>
      </c>
      <c r="E1128" s="124">
        <v>18.956043956043956</v>
      </c>
      <c r="F1128" s="124">
        <v>16.16758241758242</v>
      </c>
      <c r="G1128" s="124">
        <v>76.25</v>
      </c>
      <c r="H1128" s="124">
        <v>76.25</v>
      </c>
      <c r="I1128" s="124">
        <v>57.293956043956044</v>
      </c>
      <c r="J1128" s="124">
        <v>92.417582417582423</v>
      </c>
      <c r="K1128" s="445">
        <f t="shared" si="39"/>
        <v>-23.75</v>
      </c>
      <c r="L1128" s="445">
        <f t="shared" si="40"/>
        <v>-42.706043956043956</v>
      </c>
      <c r="M1128" s="445">
        <f t="shared" si="41"/>
        <v>-7.5824175824175768</v>
      </c>
    </row>
    <row r="1129" spans="1:13" s="439" customFormat="1" x14ac:dyDescent="0.3">
      <c r="A1129" s="124" t="s">
        <v>756</v>
      </c>
      <c r="B1129" s="146" t="s">
        <v>1061</v>
      </c>
      <c r="C1129" s="124" t="s">
        <v>1056</v>
      </c>
      <c r="D1129" s="124" t="s">
        <v>1053</v>
      </c>
      <c r="E1129" s="124">
        <v>19.330011491776197</v>
      </c>
      <c r="F1129" s="124">
        <v>8.7844932844932853</v>
      </c>
      <c r="G1129" s="124">
        <v>90.625</v>
      </c>
      <c r="H1129" s="124">
        <v>90.625</v>
      </c>
      <c r="I1129" s="124">
        <v>71.29498850822381</v>
      </c>
      <c r="J1129" s="124">
        <v>99.40949328449328</v>
      </c>
      <c r="K1129" s="445">
        <f t="shared" si="39"/>
        <v>-9.375</v>
      </c>
      <c r="L1129" s="445">
        <f t="shared" si="40"/>
        <v>-28.70501149177619</v>
      </c>
      <c r="M1129" s="445">
        <f t="shared" si="41"/>
        <v>-0.59050671550672007</v>
      </c>
    </row>
    <row r="1130" spans="1:13" s="439" customFormat="1" x14ac:dyDescent="0.3">
      <c r="A1130" s="124" t="s">
        <v>756</v>
      </c>
      <c r="B1130" s="146" t="s">
        <v>1061</v>
      </c>
      <c r="C1130" s="146" t="s">
        <v>1057</v>
      </c>
      <c r="D1130" s="146" t="s">
        <v>1053</v>
      </c>
      <c r="E1130" s="124">
        <v>0</v>
      </c>
      <c r="F1130" s="124">
        <v>0</v>
      </c>
      <c r="G1130" s="124">
        <v>100</v>
      </c>
      <c r="H1130" s="124">
        <v>100</v>
      </c>
      <c r="I1130" s="124">
        <v>100</v>
      </c>
      <c r="J1130" s="124">
        <v>100</v>
      </c>
      <c r="K1130" s="445">
        <f t="shared" si="39"/>
        <v>0</v>
      </c>
      <c r="L1130" s="445">
        <f t="shared" si="40"/>
        <v>0</v>
      </c>
      <c r="M1130" s="445">
        <f t="shared" si="41"/>
        <v>0</v>
      </c>
    </row>
    <row r="1131" spans="1:13" s="439" customFormat="1" x14ac:dyDescent="0.3">
      <c r="A1131" s="124" t="s">
        <v>756</v>
      </c>
      <c r="B1131" s="146" t="s">
        <v>1061</v>
      </c>
      <c r="C1131" s="146" t="s">
        <v>1052</v>
      </c>
      <c r="D1131" s="146" t="s">
        <v>1054</v>
      </c>
      <c r="E1131" s="124">
        <v>26.448870573870572</v>
      </c>
      <c r="F1131" s="124">
        <v>20.56517094017094</v>
      </c>
      <c r="G1131" s="124">
        <v>75</v>
      </c>
      <c r="H1131" s="124">
        <v>75</v>
      </c>
      <c r="I1131" s="124">
        <v>48.551129426129428</v>
      </c>
      <c r="J1131" s="124">
        <v>95.565170940170944</v>
      </c>
      <c r="K1131" s="445">
        <f t="shared" si="39"/>
        <v>-25</v>
      </c>
      <c r="L1131" s="445">
        <f t="shared" si="40"/>
        <v>-51.448870573870572</v>
      </c>
      <c r="M1131" s="445">
        <f t="shared" si="41"/>
        <v>-4.4348290598290561</v>
      </c>
    </row>
    <row r="1132" spans="1:13" s="439" customFormat="1" x14ac:dyDescent="0.3">
      <c r="A1132" s="124" t="s">
        <v>756</v>
      </c>
      <c r="B1132" s="146" t="s">
        <v>1061</v>
      </c>
      <c r="C1132" s="124" t="s">
        <v>1056</v>
      </c>
      <c r="D1132" s="146" t="s">
        <v>1054</v>
      </c>
      <c r="E1132" s="124">
        <v>22.978327228327228</v>
      </c>
      <c r="F1132" s="124">
        <v>13.26129426129426</v>
      </c>
      <c r="G1132" s="124">
        <v>89.375</v>
      </c>
      <c r="H1132" s="124">
        <v>89.375</v>
      </c>
      <c r="I1132" s="124">
        <v>66.396672771672769</v>
      </c>
      <c r="J1132" s="124">
        <v>102.63629426129427</v>
      </c>
      <c r="K1132" s="445">
        <f t="shared" si="39"/>
        <v>-10.625</v>
      </c>
      <c r="L1132" s="445">
        <f t="shared" si="40"/>
        <v>-33.603327228327231</v>
      </c>
      <c r="M1132" s="445">
        <f t="shared" si="41"/>
        <v>2.6362942612942675</v>
      </c>
    </row>
    <row r="1133" spans="1:13" s="439" customFormat="1" x14ac:dyDescent="0.3">
      <c r="A1133" s="124" t="s">
        <v>756</v>
      </c>
      <c r="B1133" s="146" t="s">
        <v>1061</v>
      </c>
      <c r="C1133" s="124" t="s">
        <v>1057</v>
      </c>
      <c r="D1133" s="146" t="s">
        <v>1054</v>
      </c>
      <c r="E1133" s="124">
        <v>11.482026143790851</v>
      </c>
      <c r="F1133" s="124">
        <v>4.2320261437908497</v>
      </c>
      <c r="G1133" s="124">
        <v>98.75</v>
      </c>
      <c r="H1133" s="124">
        <v>98.75</v>
      </c>
      <c r="I1133" s="124">
        <v>87.267973856209153</v>
      </c>
      <c r="J1133" s="124">
        <v>102.98202614379085</v>
      </c>
      <c r="K1133" s="445">
        <f t="shared" si="39"/>
        <v>-1.25</v>
      </c>
      <c r="L1133" s="445">
        <f t="shared" si="40"/>
        <v>-12.732026143790847</v>
      </c>
      <c r="M1133" s="445">
        <f t="shared" si="41"/>
        <v>2.9820261437908471</v>
      </c>
    </row>
    <row r="1134" spans="1:13" s="439" customFormat="1" x14ac:dyDescent="0.3">
      <c r="A1134" s="124" t="s">
        <v>756</v>
      </c>
      <c r="B1134" s="146" t="s">
        <v>1061</v>
      </c>
      <c r="C1134" s="146" t="s">
        <v>1052</v>
      </c>
      <c r="D1134" s="146" t="s">
        <v>1055</v>
      </c>
      <c r="E1134" s="146">
        <v>25.409798534798536</v>
      </c>
      <c r="F1134" s="124">
        <v>12.024572649572647</v>
      </c>
      <c r="G1134" s="124">
        <v>85.625</v>
      </c>
      <c r="H1134" s="124">
        <v>85.625</v>
      </c>
      <c r="I1134" s="124">
        <v>60.21520146520146</v>
      </c>
      <c r="J1134" s="124">
        <v>97.649572649572647</v>
      </c>
      <c r="K1134" s="445">
        <f t="shared" si="39"/>
        <v>-14.375</v>
      </c>
      <c r="L1134" s="445">
        <f t="shared" si="40"/>
        <v>-39.78479853479854</v>
      </c>
      <c r="M1134" s="445">
        <f t="shared" si="41"/>
        <v>-2.3504273504273527</v>
      </c>
    </row>
    <row r="1135" spans="1:13" s="439" customFormat="1" x14ac:dyDescent="0.3">
      <c r="A1135" s="124" t="s">
        <v>756</v>
      </c>
      <c r="B1135" s="146" t="s">
        <v>1061</v>
      </c>
      <c r="C1135" s="146" t="s">
        <v>1056</v>
      </c>
      <c r="D1135" s="146" t="s">
        <v>1055</v>
      </c>
      <c r="E1135" s="146">
        <v>17.641941391941391</v>
      </c>
      <c r="F1135" s="124">
        <v>12.58089133089133</v>
      </c>
      <c r="G1135" s="124">
        <v>94.375</v>
      </c>
      <c r="H1135" s="124">
        <v>94.375</v>
      </c>
      <c r="I1135" s="124">
        <v>76.733058608058613</v>
      </c>
      <c r="J1135" s="124">
        <v>106.95589133089133</v>
      </c>
      <c r="K1135" s="445">
        <f t="shared" si="39"/>
        <v>-5.625</v>
      </c>
      <c r="L1135" s="445">
        <f t="shared" si="40"/>
        <v>-23.266941391941387</v>
      </c>
      <c r="M1135" s="445">
        <f t="shared" si="41"/>
        <v>6.9558913308913333</v>
      </c>
    </row>
    <row r="1136" spans="1:13" s="439" customFormat="1" x14ac:dyDescent="0.3">
      <c r="A1136" s="124" t="s">
        <v>756</v>
      </c>
      <c r="B1136" s="146" t="s">
        <v>1061</v>
      </c>
      <c r="C1136" s="146" t="s">
        <v>1057</v>
      </c>
      <c r="D1136" s="146" t="s">
        <v>1055</v>
      </c>
      <c r="E1136" s="146">
        <v>12.093783667313078</v>
      </c>
      <c r="F1136" s="146">
        <v>6.3211951447245553</v>
      </c>
      <c r="G1136" s="146">
        <v>98.125</v>
      </c>
      <c r="H1136" s="146">
        <v>98.125</v>
      </c>
      <c r="I1136" s="146">
        <v>86.031216332686924</v>
      </c>
      <c r="J1136" s="146">
        <v>104.44619514472456</v>
      </c>
      <c r="K1136" s="445">
        <f t="shared" si="39"/>
        <v>-1.875</v>
      </c>
      <c r="L1136" s="445">
        <f t="shared" si="40"/>
        <v>-13.968783667313076</v>
      </c>
      <c r="M1136" s="445">
        <f t="shared" si="41"/>
        <v>4.4461951447245553</v>
      </c>
    </row>
    <row r="1137" spans="1:13" s="439" customFormat="1" x14ac:dyDescent="0.3">
      <c r="A1137" s="124" t="s">
        <v>756</v>
      </c>
      <c r="B1137" s="146" t="s">
        <v>1062</v>
      </c>
      <c r="C1137" s="146" t="s">
        <v>1052</v>
      </c>
      <c r="D1137" s="146" t="s">
        <v>1053</v>
      </c>
      <c r="E1137" s="124">
        <v>18.956043956043956</v>
      </c>
      <c r="F1137" s="124">
        <v>16.16758241758242</v>
      </c>
      <c r="G1137" s="124">
        <v>76.25</v>
      </c>
      <c r="H1137" s="124">
        <v>76.25</v>
      </c>
      <c r="I1137" s="124">
        <v>57.293956043956044</v>
      </c>
      <c r="J1137" s="124">
        <v>92.417582417582423</v>
      </c>
      <c r="K1137" s="445">
        <f t="shared" si="39"/>
        <v>-23.75</v>
      </c>
      <c r="L1137" s="445">
        <f t="shared" si="40"/>
        <v>-42.706043956043956</v>
      </c>
      <c r="M1137" s="445">
        <f t="shared" si="41"/>
        <v>-7.5824175824175768</v>
      </c>
    </row>
    <row r="1138" spans="1:13" s="439" customFormat="1" x14ac:dyDescent="0.3">
      <c r="A1138" s="124" t="s">
        <v>756</v>
      </c>
      <c r="B1138" s="146" t="s">
        <v>1062</v>
      </c>
      <c r="C1138" s="124" t="s">
        <v>1056</v>
      </c>
      <c r="D1138" s="124" t="s">
        <v>1053</v>
      </c>
      <c r="E1138" s="124">
        <v>19.330011491776197</v>
      </c>
      <c r="F1138" s="124">
        <v>8.7844932844932853</v>
      </c>
      <c r="G1138" s="124">
        <v>90.625</v>
      </c>
      <c r="H1138" s="124">
        <v>90.625</v>
      </c>
      <c r="I1138" s="124">
        <v>71.29498850822381</v>
      </c>
      <c r="J1138" s="124">
        <v>99.40949328449328</v>
      </c>
      <c r="K1138" s="445">
        <f t="shared" si="39"/>
        <v>-9.375</v>
      </c>
      <c r="L1138" s="445">
        <f t="shared" si="40"/>
        <v>-28.70501149177619</v>
      </c>
      <c r="M1138" s="445">
        <f t="shared" si="41"/>
        <v>-0.59050671550672007</v>
      </c>
    </row>
    <row r="1139" spans="1:13" s="439" customFormat="1" x14ac:dyDescent="0.3">
      <c r="A1139" s="124" t="s">
        <v>756</v>
      </c>
      <c r="B1139" s="146" t="s">
        <v>1062</v>
      </c>
      <c r="C1139" s="146" t="s">
        <v>1057</v>
      </c>
      <c r="D1139" s="146" t="s">
        <v>1053</v>
      </c>
      <c r="E1139" s="124">
        <v>0</v>
      </c>
      <c r="F1139" s="124">
        <v>0</v>
      </c>
      <c r="G1139" s="124">
        <v>100</v>
      </c>
      <c r="H1139" s="124">
        <v>100</v>
      </c>
      <c r="I1139" s="124">
        <v>100</v>
      </c>
      <c r="J1139" s="124">
        <v>100</v>
      </c>
      <c r="K1139" s="445">
        <f t="shared" si="39"/>
        <v>0</v>
      </c>
      <c r="L1139" s="445">
        <f t="shared" si="40"/>
        <v>0</v>
      </c>
      <c r="M1139" s="445">
        <f t="shared" si="41"/>
        <v>0</v>
      </c>
    </row>
    <row r="1140" spans="1:13" s="439" customFormat="1" x14ac:dyDescent="0.3">
      <c r="A1140" s="124" t="s">
        <v>756</v>
      </c>
      <c r="B1140" s="146" t="s">
        <v>1062</v>
      </c>
      <c r="C1140" s="146" t="s">
        <v>1052</v>
      </c>
      <c r="D1140" s="146" t="s">
        <v>1054</v>
      </c>
      <c r="E1140" s="124">
        <v>26.448870573870572</v>
      </c>
      <c r="F1140" s="124">
        <v>20.56517094017094</v>
      </c>
      <c r="G1140" s="124">
        <v>75</v>
      </c>
      <c r="H1140" s="124">
        <v>75</v>
      </c>
      <c r="I1140" s="124">
        <v>48.551129426129428</v>
      </c>
      <c r="J1140" s="124">
        <v>95.565170940170944</v>
      </c>
      <c r="K1140" s="445">
        <f t="shared" si="39"/>
        <v>-25</v>
      </c>
      <c r="L1140" s="445">
        <f t="shared" si="40"/>
        <v>-51.448870573870572</v>
      </c>
      <c r="M1140" s="445">
        <f t="shared" si="41"/>
        <v>-4.4348290598290561</v>
      </c>
    </row>
    <row r="1141" spans="1:13" s="439" customFormat="1" x14ac:dyDescent="0.3">
      <c r="A1141" s="124" t="s">
        <v>756</v>
      </c>
      <c r="B1141" s="146" t="s">
        <v>1062</v>
      </c>
      <c r="C1141" s="124" t="s">
        <v>1056</v>
      </c>
      <c r="D1141" s="146" t="s">
        <v>1054</v>
      </c>
      <c r="E1141" s="124">
        <v>22.978327228327228</v>
      </c>
      <c r="F1141" s="124">
        <v>13.26129426129426</v>
      </c>
      <c r="G1141" s="124">
        <v>89.375</v>
      </c>
      <c r="H1141" s="124">
        <v>89.375</v>
      </c>
      <c r="I1141" s="124">
        <v>66.396672771672769</v>
      </c>
      <c r="J1141" s="124">
        <v>102.63629426129427</v>
      </c>
      <c r="K1141" s="445">
        <f t="shared" si="39"/>
        <v>-10.625</v>
      </c>
      <c r="L1141" s="445">
        <f t="shared" si="40"/>
        <v>-33.603327228327231</v>
      </c>
      <c r="M1141" s="445">
        <f t="shared" si="41"/>
        <v>2.6362942612942675</v>
      </c>
    </row>
    <row r="1142" spans="1:13" s="439" customFormat="1" x14ac:dyDescent="0.3">
      <c r="A1142" s="124" t="s">
        <v>756</v>
      </c>
      <c r="B1142" s="146" t="s">
        <v>1062</v>
      </c>
      <c r="C1142" s="124" t="s">
        <v>1057</v>
      </c>
      <c r="D1142" s="146" t="s">
        <v>1054</v>
      </c>
      <c r="E1142" s="124">
        <v>11.482026143790851</v>
      </c>
      <c r="F1142" s="124">
        <v>4.2320261437908497</v>
      </c>
      <c r="G1142" s="124">
        <v>98.75</v>
      </c>
      <c r="H1142" s="124">
        <v>98.75</v>
      </c>
      <c r="I1142" s="124">
        <v>87.267973856209153</v>
      </c>
      <c r="J1142" s="124">
        <v>102.98202614379085</v>
      </c>
      <c r="K1142" s="445">
        <f t="shared" si="39"/>
        <v>-1.25</v>
      </c>
      <c r="L1142" s="445">
        <f t="shared" si="40"/>
        <v>-12.732026143790847</v>
      </c>
      <c r="M1142" s="445">
        <f t="shared" si="41"/>
        <v>2.9820261437908471</v>
      </c>
    </row>
    <row r="1143" spans="1:13" s="439" customFormat="1" x14ac:dyDescent="0.3">
      <c r="A1143" s="124" t="s">
        <v>756</v>
      </c>
      <c r="B1143" s="146" t="s">
        <v>1062</v>
      </c>
      <c r="C1143" s="146" t="s">
        <v>1052</v>
      </c>
      <c r="D1143" s="146" t="s">
        <v>1055</v>
      </c>
      <c r="E1143" s="146">
        <v>25.409798534798536</v>
      </c>
      <c r="F1143" s="124">
        <v>12.024572649572647</v>
      </c>
      <c r="G1143" s="124">
        <v>85.625</v>
      </c>
      <c r="H1143" s="124">
        <v>85.625</v>
      </c>
      <c r="I1143" s="124">
        <v>60.21520146520146</v>
      </c>
      <c r="J1143" s="124">
        <v>97.649572649572647</v>
      </c>
      <c r="K1143" s="445">
        <f t="shared" si="39"/>
        <v>-14.375</v>
      </c>
      <c r="L1143" s="445">
        <f t="shared" si="40"/>
        <v>-39.78479853479854</v>
      </c>
      <c r="M1143" s="445">
        <f t="shared" si="41"/>
        <v>-2.3504273504273527</v>
      </c>
    </row>
    <row r="1144" spans="1:13" s="439" customFormat="1" x14ac:dyDescent="0.3">
      <c r="A1144" s="124" t="s">
        <v>756</v>
      </c>
      <c r="B1144" s="146" t="s">
        <v>1062</v>
      </c>
      <c r="C1144" s="146" t="s">
        <v>1056</v>
      </c>
      <c r="D1144" s="146" t="s">
        <v>1055</v>
      </c>
      <c r="E1144" s="146">
        <v>17.641941391941391</v>
      </c>
      <c r="F1144" s="124">
        <v>12.58089133089133</v>
      </c>
      <c r="G1144" s="124">
        <v>94.375</v>
      </c>
      <c r="H1144" s="124">
        <v>94.375</v>
      </c>
      <c r="I1144" s="124">
        <v>76.733058608058613</v>
      </c>
      <c r="J1144" s="124">
        <v>106.95589133089133</v>
      </c>
      <c r="K1144" s="445">
        <f t="shared" si="39"/>
        <v>-5.625</v>
      </c>
      <c r="L1144" s="445">
        <f t="shared" si="40"/>
        <v>-23.266941391941387</v>
      </c>
      <c r="M1144" s="445">
        <f t="shared" si="41"/>
        <v>6.9558913308913333</v>
      </c>
    </row>
    <row r="1145" spans="1:13" s="439" customFormat="1" x14ac:dyDescent="0.3">
      <c r="A1145" s="124" t="s">
        <v>756</v>
      </c>
      <c r="B1145" s="146" t="s">
        <v>1062</v>
      </c>
      <c r="C1145" s="146" t="s">
        <v>1057</v>
      </c>
      <c r="D1145" s="124" t="s">
        <v>1055</v>
      </c>
      <c r="E1145" s="146">
        <v>12.093783667313078</v>
      </c>
      <c r="F1145" s="124">
        <v>6.3211951447245553</v>
      </c>
      <c r="G1145" s="124">
        <v>98.125</v>
      </c>
      <c r="H1145" s="124">
        <v>98.125</v>
      </c>
      <c r="I1145" s="124">
        <v>86.031216332686924</v>
      </c>
      <c r="J1145" s="124">
        <v>104.44619514472456</v>
      </c>
      <c r="K1145" s="445">
        <f t="shared" si="39"/>
        <v>-1.875</v>
      </c>
      <c r="L1145" s="445">
        <f t="shared" si="40"/>
        <v>-13.968783667313076</v>
      </c>
      <c r="M1145" s="445">
        <f t="shared" si="41"/>
        <v>4.4461951447245553</v>
      </c>
    </row>
    <row r="1146" spans="1:13" s="439" customFormat="1" x14ac:dyDescent="0.3">
      <c r="A1146" s="124" t="s">
        <v>756</v>
      </c>
      <c r="B1146" s="146" t="s">
        <v>1063</v>
      </c>
      <c r="C1146" s="146" t="s">
        <v>1052</v>
      </c>
      <c r="D1146" s="146" t="s">
        <v>1053</v>
      </c>
      <c r="E1146" s="124">
        <v>18.956043956043956</v>
      </c>
      <c r="F1146" s="124">
        <v>16.16758241758242</v>
      </c>
      <c r="G1146" s="124">
        <v>76.25</v>
      </c>
      <c r="H1146" s="124">
        <v>76.25</v>
      </c>
      <c r="I1146" s="124">
        <v>57.293956043956044</v>
      </c>
      <c r="J1146" s="124">
        <v>92.417582417582423</v>
      </c>
      <c r="K1146" s="445">
        <f t="shared" si="39"/>
        <v>-23.75</v>
      </c>
      <c r="L1146" s="445">
        <f t="shared" si="40"/>
        <v>-42.706043956043956</v>
      </c>
      <c r="M1146" s="445">
        <f t="shared" si="41"/>
        <v>-7.5824175824175768</v>
      </c>
    </row>
    <row r="1147" spans="1:13" s="439" customFormat="1" x14ac:dyDescent="0.3">
      <c r="A1147" s="124" t="s">
        <v>756</v>
      </c>
      <c r="B1147" s="146" t="s">
        <v>1063</v>
      </c>
      <c r="C1147" s="124" t="s">
        <v>1056</v>
      </c>
      <c r="D1147" s="124" t="s">
        <v>1053</v>
      </c>
      <c r="E1147" s="124">
        <v>19.330011491776197</v>
      </c>
      <c r="F1147" s="124">
        <v>8.7844932844932853</v>
      </c>
      <c r="G1147" s="124">
        <v>90.625</v>
      </c>
      <c r="H1147" s="124">
        <v>90.625</v>
      </c>
      <c r="I1147" s="124">
        <v>71.29498850822381</v>
      </c>
      <c r="J1147" s="124">
        <v>99.40949328449328</v>
      </c>
      <c r="K1147" s="445">
        <f t="shared" si="39"/>
        <v>-9.375</v>
      </c>
      <c r="L1147" s="445">
        <f t="shared" si="40"/>
        <v>-28.70501149177619</v>
      </c>
      <c r="M1147" s="445">
        <f t="shared" si="41"/>
        <v>-0.59050671550672007</v>
      </c>
    </row>
    <row r="1148" spans="1:13" s="439" customFormat="1" x14ac:dyDescent="0.3">
      <c r="A1148" s="124" t="s">
        <v>756</v>
      </c>
      <c r="B1148" s="146" t="s">
        <v>1063</v>
      </c>
      <c r="C1148" s="146" t="s">
        <v>1057</v>
      </c>
      <c r="D1148" s="146" t="s">
        <v>1053</v>
      </c>
      <c r="E1148" s="124">
        <v>0</v>
      </c>
      <c r="F1148" s="124">
        <v>0</v>
      </c>
      <c r="G1148" s="124">
        <v>100</v>
      </c>
      <c r="H1148" s="124">
        <v>100</v>
      </c>
      <c r="I1148" s="124">
        <v>100</v>
      </c>
      <c r="J1148" s="124">
        <v>100</v>
      </c>
      <c r="K1148" s="445">
        <f t="shared" si="39"/>
        <v>0</v>
      </c>
      <c r="L1148" s="445">
        <f t="shared" si="40"/>
        <v>0</v>
      </c>
      <c r="M1148" s="445">
        <f t="shared" si="41"/>
        <v>0</v>
      </c>
    </row>
    <row r="1149" spans="1:13" s="439" customFormat="1" x14ac:dyDescent="0.3">
      <c r="A1149" s="124" t="s">
        <v>756</v>
      </c>
      <c r="B1149" s="146" t="s">
        <v>1063</v>
      </c>
      <c r="C1149" s="146" t="s">
        <v>1052</v>
      </c>
      <c r="D1149" s="146" t="s">
        <v>1054</v>
      </c>
      <c r="E1149" s="124">
        <v>26.448870573870572</v>
      </c>
      <c r="F1149" s="124">
        <v>20.56517094017094</v>
      </c>
      <c r="G1149" s="124">
        <v>75</v>
      </c>
      <c r="H1149" s="124">
        <v>75</v>
      </c>
      <c r="I1149" s="124">
        <v>48.551129426129428</v>
      </c>
      <c r="J1149" s="124">
        <v>95.565170940170944</v>
      </c>
      <c r="K1149" s="445">
        <f t="shared" si="39"/>
        <v>-25</v>
      </c>
      <c r="L1149" s="445">
        <f t="shared" si="40"/>
        <v>-51.448870573870572</v>
      </c>
      <c r="M1149" s="445">
        <f t="shared" si="41"/>
        <v>-4.4348290598290561</v>
      </c>
    </row>
    <row r="1150" spans="1:13" s="439" customFormat="1" x14ac:dyDescent="0.3">
      <c r="A1150" s="124" t="s">
        <v>756</v>
      </c>
      <c r="B1150" s="146" t="s">
        <v>1063</v>
      </c>
      <c r="C1150" s="146" t="s">
        <v>1056</v>
      </c>
      <c r="D1150" s="146" t="s">
        <v>1054</v>
      </c>
      <c r="E1150" s="146">
        <v>22.978327228327228</v>
      </c>
      <c r="F1150" s="146">
        <v>13.26129426129426</v>
      </c>
      <c r="G1150" s="146">
        <v>89.375</v>
      </c>
      <c r="H1150" s="146">
        <v>89.375</v>
      </c>
      <c r="I1150" s="146">
        <v>66.396672771672769</v>
      </c>
      <c r="J1150" s="146">
        <v>102.63629426129427</v>
      </c>
      <c r="K1150" s="445">
        <f t="shared" si="39"/>
        <v>-10.625</v>
      </c>
      <c r="L1150" s="445">
        <f t="shared" si="40"/>
        <v>-33.603327228327231</v>
      </c>
      <c r="M1150" s="445">
        <f t="shared" si="41"/>
        <v>2.6362942612942675</v>
      </c>
    </row>
    <row r="1151" spans="1:13" s="439" customFormat="1" x14ac:dyDescent="0.3">
      <c r="A1151" s="124" t="s">
        <v>756</v>
      </c>
      <c r="B1151" s="146" t="s">
        <v>1063</v>
      </c>
      <c r="C1151" s="146" t="s">
        <v>1057</v>
      </c>
      <c r="D1151" s="146" t="s">
        <v>1054</v>
      </c>
      <c r="E1151" s="146">
        <v>11.482026143790851</v>
      </c>
      <c r="F1151" s="146">
        <v>4.2320261437908497</v>
      </c>
      <c r="G1151" s="146">
        <v>98.75</v>
      </c>
      <c r="H1151" s="146">
        <v>98.75</v>
      </c>
      <c r="I1151" s="146">
        <v>87.267973856209153</v>
      </c>
      <c r="J1151" s="146">
        <v>102.98202614379085</v>
      </c>
      <c r="K1151" s="445">
        <f t="shared" ref="K1151:K1214" si="42">0-(100-H1151)</f>
        <v>-1.25</v>
      </c>
      <c r="L1151" s="445">
        <f t="shared" ref="L1151:L1214" si="43">0-(100-I1151)</f>
        <v>-12.732026143790847</v>
      </c>
      <c r="M1151" s="445">
        <f t="shared" ref="M1151:M1214" si="44">0-(100-J1151)</f>
        <v>2.9820261437908471</v>
      </c>
    </row>
    <row r="1152" spans="1:13" s="439" customFormat="1" x14ac:dyDescent="0.3">
      <c r="A1152" s="124" t="s">
        <v>756</v>
      </c>
      <c r="B1152" s="146" t="s">
        <v>1063</v>
      </c>
      <c r="C1152" s="146" t="s">
        <v>1052</v>
      </c>
      <c r="D1152" s="146" t="s">
        <v>1055</v>
      </c>
      <c r="E1152" s="146">
        <v>25.409798534798536</v>
      </c>
      <c r="F1152" s="124">
        <v>12.024572649572647</v>
      </c>
      <c r="G1152" s="124">
        <v>85.625</v>
      </c>
      <c r="H1152" s="124">
        <v>85.625</v>
      </c>
      <c r="I1152" s="124">
        <v>60.21520146520146</v>
      </c>
      <c r="J1152" s="124">
        <v>97.649572649572647</v>
      </c>
      <c r="K1152" s="445">
        <f t="shared" si="42"/>
        <v>-14.375</v>
      </c>
      <c r="L1152" s="445">
        <f t="shared" si="43"/>
        <v>-39.78479853479854</v>
      </c>
      <c r="M1152" s="445">
        <f t="shared" si="44"/>
        <v>-2.3504273504273527</v>
      </c>
    </row>
    <row r="1153" spans="1:13" s="439" customFormat="1" x14ac:dyDescent="0.3">
      <c r="A1153" s="124" t="s">
        <v>756</v>
      </c>
      <c r="B1153" s="146" t="s">
        <v>1063</v>
      </c>
      <c r="C1153" s="146" t="s">
        <v>1056</v>
      </c>
      <c r="D1153" s="146" t="s">
        <v>1055</v>
      </c>
      <c r="E1153" s="146">
        <v>17.641941391941391</v>
      </c>
      <c r="F1153" s="124">
        <v>12.58089133089133</v>
      </c>
      <c r="G1153" s="124">
        <v>94.375</v>
      </c>
      <c r="H1153" s="124">
        <v>94.375</v>
      </c>
      <c r="I1153" s="124">
        <v>76.733058608058613</v>
      </c>
      <c r="J1153" s="124">
        <v>106.95589133089133</v>
      </c>
      <c r="K1153" s="445">
        <f t="shared" si="42"/>
        <v>-5.625</v>
      </c>
      <c r="L1153" s="445">
        <f t="shared" si="43"/>
        <v>-23.266941391941387</v>
      </c>
      <c r="M1153" s="445">
        <f t="shared" si="44"/>
        <v>6.9558913308913333</v>
      </c>
    </row>
    <row r="1154" spans="1:13" s="439" customFormat="1" x14ac:dyDescent="0.3">
      <c r="A1154" s="124" t="s">
        <v>756</v>
      </c>
      <c r="B1154" s="146" t="s">
        <v>1063</v>
      </c>
      <c r="C1154" s="146" t="s">
        <v>1057</v>
      </c>
      <c r="D1154" s="124" t="s">
        <v>1055</v>
      </c>
      <c r="E1154" s="146">
        <v>12.093783667313078</v>
      </c>
      <c r="F1154" s="124">
        <v>6.3211951447245553</v>
      </c>
      <c r="G1154" s="124">
        <v>98.125</v>
      </c>
      <c r="H1154" s="124">
        <v>98.125</v>
      </c>
      <c r="I1154" s="124">
        <v>86.031216332686924</v>
      </c>
      <c r="J1154" s="124">
        <v>104.44619514472456</v>
      </c>
      <c r="K1154" s="445">
        <f t="shared" si="42"/>
        <v>-1.875</v>
      </c>
      <c r="L1154" s="445">
        <f t="shared" si="43"/>
        <v>-13.968783667313076</v>
      </c>
      <c r="M1154" s="445">
        <f t="shared" si="44"/>
        <v>4.4461951447245553</v>
      </c>
    </row>
    <row r="1155" spans="1:13" s="439" customFormat="1" x14ac:dyDescent="0.3">
      <c r="A1155" s="124" t="s">
        <v>756</v>
      </c>
      <c r="B1155" s="146" t="s">
        <v>1064</v>
      </c>
      <c r="C1155" s="146" t="s">
        <v>1052</v>
      </c>
      <c r="D1155" s="146" t="s">
        <v>1053</v>
      </c>
      <c r="E1155" s="124">
        <v>33.114319890635677</v>
      </c>
      <c r="F1155" s="124">
        <v>12.010423786739576</v>
      </c>
      <c r="G1155" s="124">
        <v>85.625</v>
      </c>
      <c r="H1155" s="124">
        <v>85.625</v>
      </c>
      <c r="I1155" s="124">
        <v>52.510680109364323</v>
      </c>
      <c r="J1155" s="124">
        <v>97.63542378673958</v>
      </c>
      <c r="K1155" s="445">
        <f t="shared" si="42"/>
        <v>-14.375</v>
      </c>
      <c r="L1155" s="445">
        <f t="shared" si="43"/>
        <v>-47.489319890635677</v>
      </c>
      <c r="M1155" s="445">
        <f t="shared" si="44"/>
        <v>-2.3645762132604204</v>
      </c>
    </row>
    <row r="1156" spans="1:13" s="439" customFormat="1" x14ac:dyDescent="0.3">
      <c r="A1156" s="124" t="s">
        <v>756</v>
      </c>
      <c r="B1156" s="146" t="s">
        <v>1064</v>
      </c>
      <c r="C1156" s="124" t="s">
        <v>1056</v>
      </c>
      <c r="D1156" s="124" t="s">
        <v>1053</v>
      </c>
      <c r="E1156" s="124">
        <v>8.9213564213564212</v>
      </c>
      <c r="F1156" s="124">
        <v>5.9451659451659449</v>
      </c>
      <c r="G1156" s="124">
        <v>95</v>
      </c>
      <c r="H1156" s="124">
        <v>95</v>
      </c>
      <c r="I1156" s="124">
        <v>86.078643578643579</v>
      </c>
      <c r="J1156" s="124">
        <v>100.94516594516594</v>
      </c>
      <c r="K1156" s="445">
        <f t="shared" si="42"/>
        <v>-5</v>
      </c>
      <c r="L1156" s="445">
        <f t="shared" si="43"/>
        <v>-13.921356421356421</v>
      </c>
      <c r="M1156" s="445">
        <f t="shared" si="44"/>
        <v>0.94516594516593955</v>
      </c>
    </row>
    <row r="1157" spans="1:13" s="439" customFormat="1" x14ac:dyDescent="0.3">
      <c r="A1157" s="124" t="s">
        <v>756</v>
      </c>
      <c r="B1157" s="146" t="s">
        <v>1064</v>
      </c>
      <c r="C1157" s="146" t="s">
        <v>1057</v>
      </c>
      <c r="D1157" s="146" t="s">
        <v>1053</v>
      </c>
      <c r="E1157" s="124">
        <v>0</v>
      </c>
      <c r="F1157" s="124">
        <v>0</v>
      </c>
      <c r="G1157" s="124">
        <v>100</v>
      </c>
      <c r="H1157" s="124">
        <v>100</v>
      </c>
      <c r="I1157" s="124">
        <v>100</v>
      </c>
      <c r="J1157" s="124">
        <v>100</v>
      </c>
      <c r="K1157" s="445">
        <f t="shared" si="42"/>
        <v>0</v>
      </c>
      <c r="L1157" s="445">
        <f t="shared" si="43"/>
        <v>0</v>
      </c>
      <c r="M1157" s="445">
        <f t="shared" si="44"/>
        <v>0</v>
      </c>
    </row>
    <row r="1158" spans="1:13" s="439" customFormat="1" x14ac:dyDescent="0.3">
      <c r="A1158" s="124" t="s">
        <v>756</v>
      </c>
      <c r="B1158" s="146" t="s">
        <v>1064</v>
      </c>
      <c r="C1158" s="146" t="s">
        <v>1052</v>
      </c>
      <c r="D1158" s="146" t="s">
        <v>1054</v>
      </c>
      <c r="E1158" s="124">
        <v>40.847485847485849</v>
      </c>
      <c r="F1158" s="124">
        <v>19.961982461982458</v>
      </c>
      <c r="G1158" s="124">
        <v>78.75</v>
      </c>
      <c r="H1158" s="124">
        <v>78.75</v>
      </c>
      <c r="I1158" s="124">
        <v>37.902514152514151</v>
      </c>
      <c r="J1158" s="124">
        <v>98.711982461982458</v>
      </c>
      <c r="K1158" s="445">
        <f t="shared" si="42"/>
        <v>-21.25</v>
      </c>
      <c r="L1158" s="445">
        <f t="shared" si="43"/>
        <v>-62.097485847485849</v>
      </c>
      <c r="M1158" s="445">
        <f t="shared" si="44"/>
        <v>-1.2880175380175416</v>
      </c>
    </row>
    <row r="1159" spans="1:13" s="439" customFormat="1" x14ac:dyDescent="0.3">
      <c r="A1159" s="124" t="s">
        <v>756</v>
      </c>
      <c r="B1159" s="146" t="s">
        <v>1064</v>
      </c>
      <c r="C1159" s="124" t="s">
        <v>1056</v>
      </c>
      <c r="D1159" s="124" t="s">
        <v>1054</v>
      </c>
      <c r="E1159" s="124">
        <v>14.557803307803306</v>
      </c>
      <c r="F1159" s="124">
        <v>16.018079143079142</v>
      </c>
      <c r="G1159" s="124">
        <v>87.5</v>
      </c>
      <c r="H1159" s="124">
        <v>87.5</v>
      </c>
      <c r="I1159" s="124">
        <v>72.942196692196688</v>
      </c>
      <c r="J1159" s="124">
        <v>103.51807914307915</v>
      </c>
      <c r="K1159" s="445">
        <f t="shared" si="42"/>
        <v>-12.5</v>
      </c>
      <c r="L1159" s="445">
        <f t="shared" si="43"/>
        <v>-27.057803307803312</v>
      </c>
      <c r="M1159" s="445">
        <f t="shared" si="44"/>
        <v>3.5180791430791487</v>
      </c>
    </row>
    <row r="1160" spans="1:13" s="439" customFormat="1" x14ac:dyDescent="0.3">
      <c r="A1160" s="124" t="s">
        <v>756</v>
      </c>
      <c r="B1160" s="146" t="s">
        <v>1064</v>
      </c>
      <c r="C1160" s="124" t="s">
        <v>1057</v>
      </c>
      <c r="D1160" s="124" t="s">
        <v>1054</v>
      </c>
      <c r="E1160" s="124">
        <v>17.098972922502334</v>
      </c>
      <c r="F1160" s="124">
        <v>9.3411531279178348</v>
      </c>
      <c r="G1160" s="124">
        <v>95.625</v>
      </c>
      <c r="H1160" s="124">
        <v>95.625</v>
      </c>
      <c r="I1160" s="124">
        <v>78.526027077497673</v>
      </c>
      <c r="J1160" s="124">
        <v>104.96615312791783</v>
      </c>
      <c r="K1160" s="445">
        <f t="shared" si="42"/>
        <v>-4.375</v>
      </c>
      <c r="L1160" s="445">
        <f t="shared" si="43"/>
        <v>-21.473972922502327</v>
      </c>
      <c r="M1160" s="445">
        <f t="shared" si="44"/>
        <v>4.9661531279178348</v>
      </c>
    </row>
    <row r="1161" spans="1:13" s="439" customFormat="1" x14ac:dyDescent="0.3">
      <c r="A1161" s="124" t="s">
        <v>756</v>
      </c>
      <c r="B1161" s="146" t="s">
        <v>1064</v>
      </c>
      <c r="C1161" s="146" t="s">
        <v>1052</v>
      </c>
      <c r="D1161" s="146" t="s">
        <v>1055</v>
      </c>
      <c r="E1161" s="124">
        <v>53.829628704628703</v>
      </c>
      <c r="F1161" s="124">
        <v>23.537379287379288</v>
      </c>
      <c r="G1161" s="124">
        <v>67.5</v>
      </c>
      <c r="H1161" s="124">
        <v>67.5</v>
      </c>
      <c r="I1161" s="124">
        <v>13.670371295371297</v>
      </c>
      <c r="J1161" s="124">
        <v>91.037379287379281</v>
      </c>
      <c r="K1161" s="445">
        <f t="shared" si="42"/>
        <v>-32.5</v>
      </c>
      <c r="L1161" s="445">
        <f t="shared" si="43"/>
        <v>-86.329628704628703</v>
      </c>
      <c r="M1161" s="445">
        <f t="shared" si="44"/>
        <v>-8.9626207126207191</v>
      </c>
    </row>
    <row r="1162" spans="1:13" s="439" customFormat="1" x14ac:dyDescent="0.3">
      <c r="A1162" s="124" t="s">
        <v>756</v>
      </c>
      <c r="B1162" s="146" t="s">
        <v>1064</v>
      </c>
      <c r="C1162" s="124" t="s">
        <v>1056</v>
      </c>
      <c r="D1162" s="146" t="s">
        <v>1055</v>
      </c>
      <c r="E1162" s="124">
        <v>39.068806193806196</v>
      </c>
      <c r="F1162" s="124">
        <v>29.217574092574093</v>
      </c>
      <c r="G1162" s="124">
        <v>75.625</v>
      </c>
      <c r="H1162" s="124">
        <v>75.625</v>
      </c>
      <c r="I1162" s="124">
        <v>36.556193806193804</v>
      </c>
      <c r="J1162" s="124">
        <v>104.8425740925741</v>
      </c>
      <c r="K1162" s="445">
        <f t="shared" si="42"/>
        <v>-24.375</v>
      </c>
      <c r="L1162" s="445">
        <f t="shared" si="43"/>
        <v>-63.443806193806196</v>
      </c>
      <c r="M1162" s="445">
        <f t="shared" si="44"/>
        <v>4.8425740925740968</v>
      </c>
    </row>
    <row r="1163" spans="1:13" s="439" customFormat="1" x14ac:dyDescent="0.3">
      <c r="A1163" s="124" t="s">
        <v>756</v>
      </c>
      <c r="B1163" s="146" t="s">
        <v>1064</v>
      </c>
      <c r="C1163" s="146" t="s">
        <v>1057</v>
      </c>
      <c r="D1163" s="124" t="s">
        <v>1055</v>
      </c>
      <c r="E1163" s="146">
        <v>33.788419913419915</v>
      </c>
      <c r="F1163" s="124">
        <v>20.960497835497836</v>
      </c>
      <c r="G1163" s="124">
        <v>81.875</v>
      </c>
      <c r="H1163" s="124">
        <v>81.875</v>
      </c>
      <c r="I1163" s="124">
        <v>48.086580086580085</v>
      </c>
      <c r="J1163" s="124">
        <v>102.83549783549783</v>
      </c>
      <c r="K1163" s="445">
        <f t="shared" si="42"/>
        <v>-18.125</v>
      </c>
      <c r="L1163" s="445">
        <f t="shared" si="43"/>
        <v>-51.913419913419915</v>
      </c>
      <c r="M1163" s="445">
        <f t="shared" si="44"/>
        <v>2.8354978354978329</v>
      </c>
    </row>
    <row r="1164" spans="1:13" s="439" customFormat="1" x14ac:dyDescent="0.3">
      <c r="A1164" s="124" t="s">
        <v>756</v>
      </c>
      <c r="B1164" s="146" t="s">
        <v>797</v>
      </c>
      <c r="C1164" s="146" t="s">
        <v>1052</v>
      </c>
      <c r="D1164" s="146" t="s">
        <v>1053</v>
      </c>
      <c r="E1164" s="146">
        <v>25.432234432234434</v>
      </c>
      <c r="F1164" s="146">
        <v>35.815018315018314</v>
      </c>
      <c r="G1164" s="146">
        <v>40</v>
      </c>
      <c r="H1164" s="146">
        <v>40</v>
      </c>
      <c r="I1164" s="146">
        <v>14.567765567765566</v>
      </c>
      <c r="J1164" s="146">
        <v>75.815018315018307</v>
      </c>
      <c r="K1164" s="445">
        <f t="shared" si="42"/>
        <v>-60</v>
      </c>
      <c r="L1164" s="445">
        <f t="shared" si="43"/>
        <v>-85.432234432234438</v>
      </c>
      <c r="M1164" s="445">
        <f t="shared" si="44"/>
        <v>-24.184981684981693</v>
      </c>
    </row>
    <row r="1165" spans="1:13" s="439" customFormat="1" x14ac:dyDescent="0.3">
      <c r="A1165" s="124" t="s">
        <v>756</v>
      </c>
      <c r="B1165" s="146" t="s">
        <v>797</v>
      </c>
      <c r="C1165" s="146" t="s">
        <v>1056</v>
      </c>
      <c r="D1165" s="146" t="s">
        <v>1053</v>
      </c>
      <c r="E1165" s="146">
        <v>27.745798319327729</v>
      </c>
      <c r="F1165" s="146">
        <v>15.46218487394958</v>
      </c>
      <c r="G1165" s="146">
        <v>77.5</v>
      </c>
      <c r="H1165" s="146">
        <v>77.5</v>
      </c>
      <c r="I1165" s="146">
        <v>49.754201680672267</v>
      </c>
      <c r="J1165" s="146">
        <v>92.962184873949582</v>
      </c>
      <c r="K1165" s="445">
        <f t="shared" si="42"/>
        <v>-22.5</v>
      </c>
      <c r="L1165" s="445">
        <f t="shared" si="43"/>
        <v>-50.245798319327733</v>
      </c>
      <c r="M1165" s="445">
        <f t="shared" si="44"/>
        <v>-7.0378151260504183</v>
      </c>
    </row>
    <row r="1166" spans="1:13" s="439" customFormat="1" x14ac:dyDescent="0.3">
      <c r="A1166" s="124" t="s">
        <v>756</v>
      </c>
      <c r="B1166" s="146" t="s">
        <v>797</v>
      </c>
      <c r="C1166" s="146" t="s">
        <v>1057</v>
      </c>
      <c r="D1166" s="146" t="s">
        <v>1053</v>
      </c>
      <c r="E1166" s="146">
        <v>0</v>
      </c>
      <c r="F1166" s="146">
        <v>0</v>
      </c>
      <c r="G1166" s="146">
        <v>100</v>
      </c>
      <c r="H1166" s="146">
        <v>100</v>
      </c>
      <c r="I1166" s="146">
        <v>100</v>
      </c>
      <c r="J1166" s="146">
        <v>100</v>
      </c>
      <c r="K1166" s="445">
        <f t="shared" si="42"/>
        <v>0</v>
      </c>
      <c r="L1166" s="445">
        <f t="shared" si="43"/>
        <v>0</v>
      </c>
      <c r="M1166" s="445">
        <f t="shared" si="44"/>
        <v>0</v>
      </c>
    </row>
    <row r="1167" spans="1:13" s="439" customFormat="1" x14ac:dyDescent="0.3">
      <c r="A1167" s="124" t="s">
        <v>756</v>
      </c>
      <c r="B1167" s="146" t="s">
        <v>797</v>
      </c>
      <c r="C1167" s="146" t="s">
        <v>1052</v>
      </c>
      <c r="D1167" s="146" t="s">
        <v>1054</v>
      </c>
      <c r="E1167" s="146">
        <v>31.518315018315018</v>
      </c>
      <c r="F1167" s="146">
        <v>32.934065934065934</v>
      </c>
      <c r="G1167" s="146">
        <v>48.125</v>
      </c>
      <c r="H1167" s="146">
        <v>48.125</v>
      </c>
      <c r="I1167" s="146">
        <v>16.606684981684982</v>
      </c>
      <c r="J1167" s="146">
        <v>81.059065934065927</v>
      </c>
      <c r="K1167" s="445">
        <f t="shared" si="42"/>
        <v>-51.875</v>
      </c>
      <c r="L1167" s="445">
        <f t="shared" si="43"/>
        <v>-83.393315018315022</v>
      </c>
      <c r="M1167" s="445">
        <f t="shared" si="44"/>
        <v>-18.940934065934073</v>
      </c>
    </row>
    <row r="1168" spans="1:13" s="439" customFormat="1" x14ac:dyDescent="0.3">
      <c r="A1168" s="124" t="s">
        <v>756</v>
      </c>
      <c r="B1168" s="146" t="s">
        <v>797</v>
      </c>
      <c r="C1168" s="124" t="s">
        <v>1056</v>
      </c>
      <c r="D1168" s="124" t="s">
        <v>1054</v>
      </c>
      <c r="E1168" s="124">
        <v>28.935439560439562</v>
      </c>
      <c r="F1168" s="124">
        <v>18.355311355311358</v>
      </c>
      <c r="G1168" s="124">
        <v>78.125</v>
      </c>
      <c r="H1168" s="124">
        <v>78.125</v>
      </c>
      <c r="I1168" s="124">
        <v>49.189560439560438</v>
      </c>
      <c r="J1168" s="124">
        <v>96.480311355311358</v>
      </c>
      <c r="K1168" s="445">
        <f t="shared" si="42"/>
        <v>-21.875</v>
      </c>
      <c r="L1168" s="445">
        <f t="shared" si="43"/>
        <v>-50.810439560439562</v>
      </c>
      <c r="M1168" s="445">
        <f t="shared" si="44"/>
        <v>-3.5196886446886424</v>
      </c>
    </row>
    <row r="1169" spans="1:13" s="439" customFormat="1" x14ac:dyDescent="0.3">
      <c r="A1169" s="124" t="s">
        <v>756</v>
      </c>
      <c r="B1169" s="146" t="s">
        <v>797</v>
      </c>
      <c r="C1169" s="124" t="s">
        <v>1057</v>
      </c>
      <c r="D1169" s="124" t="s">
        <v>1054</v>
      </c>
      <c r="E1169" s="124">
        <v>14.21218487394958</v>
      </c>
      <c r="F1169" s="124">
        <v>5.9264705882352944</v>
      </c>
      <c r="G1169" s="124">
        <v>98.75</v>
      </c>
      <c r="H1169" s="124">
        <v>98.75</v>
      </c>
      <c r="I1169" s="124">
        <v>84.537815126050418</v>
      </c>
      <c r="J1169" s="124">
        <v>104.67647058823529</v>
      </c>
      <c r="K1169" s="445">
        <f t="shared" si="42"/>
        <v>-1.25</v>
      </c>
      <c r="L1169" s="445">
        <f t="shared" si="43"/>
        <v>-15.462184873949582</v>
      </c>
      <c r="M1169" s="445">
        <f t="shared" si="44"/>
        <v>4.6764705882352899</v>
      </c>
    </row>
    <row r="1170" spans="1:13" s="439" customFormat="1" x14ac:dyDescent="0.3">
      <c r="A1170" s="124" t="s">
        <v>756</v>
      </c>
      <c r="B1170" s="146" t="s">
        <v>797</v>
      </c>
      <c r="C1170" s="146" t="s">
        <v>1052</v>
      </c>
      <c r="D1170" s="146" t="s">
        <v>1055</v>
      </c>
      <c r="E1170" s="124">
        <v>35.841575091575095</v>
      </c>
      <c r="F1170" s="124">
        <v>21.293956043956044</v>
      </c>
      <c r="G1170" s="124">
        <v>70</v>
      </c>
      <c r="H1170" s="124">
        <v>70</v>
      </c>
      <c r="I1170" s="124">
        <v>34.158424908424905</v>
      </c>
      <c r="J1170" s="124">
        <v>91.293956043956044</v>
      </c>
      <c r="K1170" s="445">
        <f t="shared" si="42"/>
        <v>-30</v>
      </c>
      <c r="L1170" s="445">
        <f t="shared" si="43"/>
        <v>-65.841575091575095</v>
      </c>
      <c r="M1170" s="445">
        <f t="shared" si="44"/>
        <v>-8.7060439560439562</v>
      </c>
    </row>
    <row r="1171" spans="1:13" s="439" customFormat="1" x14ac:dyDescent="0.3">
      <c r="A1171" s="124" t="s">
        <v>756</v>
      </c>
      <c r="B1171" s="146" t="s">
        <v>797</v>
      </c>
      <c r="C1171" s="146" t="s">
        <v>1056</v>
      </c>
      <c r="D1171" s="146" t="s">
        <v>1055</v>
      </c>
      <c r="E1171" s="146">
        <v>23.791208791208788</v>
      </c>
      <c r="F1171" s="146">
        <v>14.451923076923077</v>
      </c>
      <c r="G1171" s="146">
        <v>86.875</v>
      </c>
      <c r="H1171" s="146">
        <v>86.875</v>
      </c>
      <c r="I1171" s="146">
        <v>63.083791208791212</v>
      </c>
      <c r="J1171" s="146">
        <v>101.32692307692308</v>
      </c>
      <c r="K1171" s="445">
        <f t="shared" si="42"/>
        <v>-13.125</v>
      </c>
      <c r="L1171" s="445">
        <f t="shared" si="43"/>
        <v>-36.916208791208788</v>
      </c>
      <c r="M1171" s="445">
        <f t="shared" si="44"/>
        <v>1.3269230769230802</v>
      </c>
    </row>
    <row r="1172" spans="1:13" s="439" customFormat="1" x14ac:dyDescent="0.3">
      <c r="A1172" s="124" t="s">
        <v>756</v>
      </c>
      <c r="B1172" s="146" t="s">
        <v>797</v>
      </c>
      <c r="C1172" s="146" t="s">
        <v>1057</v>
      </c>
      <c r="D1172" s="124" t="s">
        <v>1055</v>
      </c>
      <c r="E1172" s="146">
        <v>19.817765567765569</v>
      </c>
      <c r="F1172" s="124">
        <v>13.25</v>
      </c>
      <c r="G1172" s="124">
        <v>93.75</v>
      </c>
      <c r="H1172" s="124">
        <v>93.75</v>
      </c>
      <c r="I1172" s="124">
        <v>73.932234432234424</v>
      </c>
      <c r="J1172" s="124">
        <v>107</v>
      </c>
      <c r="K1172" s="445">
        <f t="shared" si="42"/>
        <v>-6.25</v>
      </c>
      <c r="L1172" s="445">
        <f t="shared" si="43"/>
        <v>-26.067765567765576</v>
      </c>
      <c r="M1172" s="445">
        <f t="shared" si="44"/>
        <v>7</v>
      </c>
    </row>
    <row r="1173" spans="1:13" s="439" customFormat="1" x14ac:dyDescent="0.3">
      <c r="A1173" s="124" t="s">
        <v>756</v>
      </c>
      <c r="B1173" s="124" t="s">
        <v>1065</v>
      </c>
      <c r="C1173" s="124" t="s">
        <v>1052</v>
      </c>
      <c r="D1173" s="124" t="s">
        <v>1053</v>
      </c>
      <c r="E1173" s="124">
        <v>28.733339489642013</v>
      </c>
      <c r="F1173" s="124">
        <v>15.195924523655616</v>
      </c>
      <c r="G1173" s="124">
        <v>77.857142857142861</v>
      </c>
      <c r="H1173" s="124">
        <v>77.857142857142861</v>
      </c>
      <c r="I1173" s="124">
        <v>49.123803367500848</v>
      </c>
      <c r="J1173" s="124">
        <v>93.053067380798481</v>
      </c>
      <c r="K1173" s="445">
        <f t="shared" si="42"/>
        <v>-22.142857142857139</v>
      </c>
      <c r="L1173" s="445">
        <f t="shared" si="43"/>
        <v>-50.876196632499152</v>
      </c>
      <c r="M1173" s="445">
        <f t="shared" si="44"/>
        <v>-6.9469326192015188</v>
      </c>
    </row>
    <row r="1174" spans="1:13" s="439" customFormat="1" x14ac:dyDescent="0.3">
      <c r="A1174" s="124" t="s">
        <v>756</v>
      </c>
      <c r="B1174" s="146" t="s">
        <v>1065</v>
      </c>
      <c r="C1174" s="124" t="s">
        <v>1056</v>
      </c>
      <c r="D1174" s="146" t="s">
        <v>1053</v>
      </c>
      <c r="E1174" s="124">
        <v>13.336206277382747</v>
      </c>
      <c r="F1174" s="124">
        <v>10.245636716224952</v>
      </c>
      <c r="G1174" s="124">
        <v>88.571428571428569</v>
      </c>
      <c r="H1174" s="124">
        <v>88.571428571428569</v>
      </c>
      <c r="I1174" s="124">
        <v>75.235222294045826</v>
      </c>
      <c r="J1174" s="124">
        <v>98.81706528765352</v>
      </c>
      <c r="K1174" s="445">
        <f t="shared" si="42"/>
        <v>-11.428571428571431</v>
      </c>
      <c r="L1174" s="445">
        <f t="shared" si="43"/>
        <v>-24.764777705954174</v>
      </c>
      <c r="M1174" s="445">
        <f t="shared" si="44"/>
        <v>-1.18293471234648</v>
      </c>
    </row>
    <row r="1175" spans="1:13" s="439" customFormat="1" x14ac:dyDescent="0.3">
      <c r="A1175" s="124" t="s">
        <v>756</v>
      </c>
      <c r="B1175" s="146" t="s">
        <v>1065</v>
      </c>
      <c r="C1175" s="146" t="s">
        <v>1057</v>
      </c>
      <c r="D1175" s="146" t="s">
        <v>1053</v>
      </c>
      <c r="E1175" s="124">
        <v>0</v>
      </c>
      <c r="F1175" s="124">
        <v>0</v>
      </c>
      <c r="G1175" s="124">
        <v>100</v>
      </c>
      <c r="H1175" s="146">
        <v>100</v>
      </c>
      <c r="I1175" s="146">
        <v>100</v>
      </c>
      <c r="J1175" s="146">
        <v>100</v>
      </c>
      <c r="K1175" s="445">
        <f t="shared" si="42"/>
        <v>0</v>
      </c>
      <c r="L1175" s="445">
        <f t="shared" si="43"/>
        <v>0</v>
      </c>
      <c r="M1175" s="445">
        <f t="shared" si="44"/>
        <v>0</v>
      </c>
    </row>
    <row r="1176" spans="1:13" s="439" customFormat="1" x14ac:dyDescent="0.3">
      <c r="A1176" s="124" t="s">
        <v>756</v>
      </c>
      <c r="B1176" s="146" t="s">
        <v>1065</v>
      </c>
      <c r="C1176" s="146" t="s">
        <v>1052</v>
      </c>
      <c r="D1176" s="146" t="s">
        <v>1054</v>
      </c>
      <c r="E1176" s="124">
        <v>35.030935451103517</v>
      </c>
      <c r="F1176" s="124">
        <v>14.230615323052296</v>
      </c>
      <c r="G1176" s="124">
        <v>79.285714285714292</v>
      </c>
      <c r="H1176" s="124">
        <v>79.285714285714292</v>
      </c>
      <c r="I1176" s="124">
        <v>44.254778834610775</v>
      </c>
      <c r="J1176" s="124">
        <v>93.516329608766583</v>
      </c>
      <c r="K1176" s="445">
        <f t="shared" si="42"/>
        <v>-20.714285714285708</v>
      </c>
      <c r="L1176" s="445">
        <f t="shared" si="43"/>
        <v>-55.745221165389225</v>
      </c>
      <c r="M1176" s="445">
        <f t="shared" si="44"/>
        <v>-6.4836703912334173</v>
      </c>
    </row>
    <row r="1177" spans="1:13" s="439" customFormat="1" x14ac:dyDescent="0.3">
      <c r="A1177" s="124" t="s">
        <v>756</v>
      </c>
      <c r="B1177" s="146" t="s">
        <v>1065</v>
      </c>
      <c r="C1177" s="124" t="s">
        <v>1056</v>
      </c>
      <c r="D1177" s="124" t="s">
        <v>1054</v>
      </c>
      <c r="E1177" s="124">
        <v>21.543058248940604</v>
      </c>
      <c r="F1177" s="124">
        <v>6.5990088343029516</v>
      </c>
      <c r="G1177" s="124">
        <v>90.714285714285708</v>
      </c>
      <c r="H1177" s="124">
        <v>90.714285714285708</v>
      </c>
      <c r="I1177" s="124">
        <v>69.171227465345112</v>
      </c>
      <c r="J1177" s="124">
        <v>97.313294548588658</v>
      </c>
      <c r="K1177" s="445">
        <f t="shared" si="42"/>
        <v>-9.2857142857142918</v>
      </c>
      <c r="L1177" s="445">
        <f t="shared" si="43"/>
        <v>-30.828772534654888</v>
      </c>
      <c r="M1177" s="445">
        <f t="shared" si="44"/>
        <v>-2.686705451411342</v>
      </c>
    </row>
    <row r="1178" spans="1:13" s="439" customFormat="1" x14ac:dyDescent="0.3">
      <c r="A1178" s="124" t="s">
        <v>756</v>
      </c>
      <c r="B1178" s="146" t="s">
        <v>1065</v>
      </c>
      <c r="C1178" s="124" t="s">
        <v>1057</v>
      </c>
      <c r="D1178" s="124" t="s">
        <v>1054</v>
      </c>
      <c r="E1178" s="124">
        <v>6.9415499533146576</v>
      </c>
      <c r="F1178" s="124">
        <v>3.858076563958917</v>
      </c>
      <c r="G1178" s="124">
        <v>100</v>
      </c>
      <c r="H1178" s="124">
        <v>100</v>
      </c>
      <c r="I1178" s="124">
        <v>93.058450046685337</v>
      </c>
      <c r="J1178" s="124">
        <v>103.85807656395892</v>
      </c>
      <c r="K1178" s="445">
        <f t="shared" si="42"/>
        <v>0</v>
      </c>
      <c r="L1178" s="445">
        <f t="shared" si="43"/>
        <v>-6.941549953314663</v>
      </c>
      <c r="M1178" s="445">
        <f t="shared" si="44"/>
        <v>3.8580765639589174</v>
      </c>
    </row>
    <row r="1179" spans="1:13" s="439" customFormat="1" x14ac:dyDescent="0.3">
      <c r="A1179" s="124" t="s">
        <v>756</v>
      </c>
      <c r="B1179" s="146" t="s">
        <v>1065</v>
      </c>
      <c r="C1179" s="146" t="s">
        <v>1052</v>
      </c>
      <c r="D1179" s="146" t="s">
        <v>1055</v>
      </c>
      <c r="E1179" s="146">
        <v>33.759195986086738</v>
      </c>
      <c r="F1179" s="124">
        <v>7.6345922984578447</v>
      </c>
      <c r="G1179" s="124">
        <v>93.571428571428569</v>
      </c>
      <c r="H1179" s="124">
        <v>93.571428571428569</v>
      </c>
      <c r="I1179" s="124">
        <v>59.812232585341832</v>
      </c>
      <c r="J1179" s="124">
        <v>101.20602086988642</v>
      </c>
      <c r="K1179" s="445">
        <f t="shared" si="42"/>
        <v>-6.4285714285714306</v>
      </c>
      <c r="L1179" s="445">
        <f t="shared" si="43"/>
        <v>-40.187767414658168</v>
      </c>
      <c r="M1179" s="445">
        <f t="shared" si="44"/>
        <v>1.2060208698864159</v>
      </c>
    </row>
    <row r="1180" spans="1:13" s="439" customFormat="1" x14ac:dyDescent="0.3">
      <c r="A1180" s="124" t="s">
        <v>756</v>
      </c>
      <c r="B1180" s="146" t="s">
        <v>1065</v>
      </c>
      <c r="C1180" s="146" t="s">
        <v>1056</v>
      </c>
      <c r="D1180" s="146" t="s">
        <v>1055</v>
      </c>
      <c r="E1180" s="146">
        <v>20.66395789084865</v>
      </c>
      <c r="F1180" s="124">
        <v>8.6785483424138885</v>
      </c>
      <c r="G1180" s="124">
        <v>95.714285714285708</v>
      </c>
      <c r="H1180" s="124">
        <v>95.714285714285708</v>
      </c>
      <c r="I1180" s="124">
        <v>75.050327823437058</v>
      </c>
      <c r="J1180" s="124">
        <v>104.3928340566996</v>
      </c>
      <c r="K1180" s="445">
        <f t="shared" si="42"/>
        <v>-4.2857142857142918</v>
      </c>
      <c r="L1180" s="445">
        <f t="shared" si="43"/>
        <v>-24.949672176562942</v>
      </c>
      <c r="M1180" s="445">
        <f t="shared" si="44"/>
        <v>4.3928340566995985</v>
      </c>
    </row>
    <row r="1181" spans="1:13" s="439" customFormat="1" x14ac:dyDescent="0.3">
      <c r="A1181" s="124" t="s">
        <v>756</v>
      </c>
      <c r="B1181" s="146" t="s">
        <v>1065</v>
      </c>
      <c r="C1181" s="146" t="s">
        <v>1057</v>
      </c>
      <c r="D1181" s="124" t="s">
        <v>1055</v>
      </c>
      <c r="E1181" s="146">
        <v>10.56496444731739</v>
      </c>
      <c r="F1181" s="124">
        <v>7.3613445378151265</v>
      </c>
      <c r="G1181" s="124">
        <v>98.571428571428569</v>
      </c>
      <c r="H1181" s="124">
        <v>98.571428571428569</v>
      </c>
      <c r="I1181" s="124">
        <v>88.006464124111176</v>
      </c>
      <c r="J1181" s="124">
        <v>105.9327731092437</v>
      </c>
      <c r="K1181" s="445">
        <f t="shared" si="42"/>
        <v>-1.4285714285714306</v>
      </c>
      <c r="L1181" s="445">
        <f t="shared" si="43"/>
        <v>-11.993535875888824</v>
      </c>
      <c r="M1181" s="445">
        <f t="shared" si="44"/>
        <v>5.9327731092436977</v>
      </c>
    </row>
    <row r="1182" spans="1:13" s="439" customFormat="1" x14ac:dyDescent="0.3">
      <c r="A1182" s="124" t="s">
        <v>756</v>
      </c>
      <c r="B1182" s="124" t="s">
        <v>829</v>
      </c>
      <c r="C1182" s="124" t="s">
        <v>1052</v>
      </c>
      <c r="D1182" s="124" t="s">
        <v>1053</v>
      </c>
      <c r="E1182" s="124">
        <v>31.286630036630033</v>
      </c>
      <c r="F1182" s="124">
        <v>28.084249084249084</v>
      </c>
      <c r="G1182" s="124">
        <v>58.75</v>
      </c>
      <c r="H1182" s="124">
        <v>58.75</v>
      </c>
      <c r="I1182" s="124">
        <v>27.463369963369967</v>
      </c>
      <c r="J1182" s="124">
        <v>86.83424908424908</v>
      </c>
      <c r="K1182" s="445">
        <f t="shared" si="42"/>
        <v>-41.25</v>
      </c>
      <c r="L1182" s="445">
        <f t="shared" si="43"/>
        <v>-72.536630036630029</v>
      </c>
      <c r="M1182" s="445">
        <f t="shared" si="44"/>
        <v>-13.16575091575092</v>
      </c>
    </row>
    <row r="1183" spans="1:13" s="439" customFormat="1" x14ac:dyDescent="0.3">
      <c r="A1183" s="124" t="s">
        <v>756</v>
      </c>
      <c r="B1183" s="146" t="s">
        <v>829</v>
      </c>
      <c r="C1183" s="124" t="s">
        <v>1056</v>
      </c>
      <c r="D1183" s="146" t="s">
        <v>1053</v>
      </c>
      <c r="E1183" s="124">
        <v>31.338235294117645</v>
      </c>
      <c r="F1183" s="124">
        <v>13.171568627450981</v>
      </c>
      <c r="G1183" s="124">
        <v>79.375</v>
      </c>
      <c r="H1183" s="124">
        <v>79.375</v>
      </c>
      <c r="I1183" s="124">
        <v>48.036764705882355</v>
      </c>
      <c r="J1183" s="124">
        <v>92.546568627450981</v>
      </c>
      <c r="K1183" s="445">
        <f t="shared" si="42"/>
        <v>-20.625</v>
      </c>
      <c r="L1183" s="445">
        <f t="shared" si="43"/>
        <v>-51.963235294117645</v>
      </c>
      <c r="M1183" s="445">
        <f t="shared" si="44"/>
        <v>-7.4534313725490193</v>
      </c>
    </row>
    <row r="1184" spans="1:13" s="439" customFormat="1" x14ac:dyDescent="0.3">
      <c r="A1184" s="124" t="s">
        <v>756</v>
      </c>
      <c r="B1184" s="146" t="s">
        <v>829</v>
      </c>
      <c r="C1184" s="146" t="s">
        <v>1057</v>
      </c>
      <c r="D1184" s="146" t="s">
        <v>1053</v>
      </c>
      <c r="E1184" s="146">
        <v>0</v>
      </c>
      <c r="F1184" s="146">
        <v>0</v>
      </c>
      <c r="G1184" s="146">
        <v>100</v>
      </c>
      <c r="H1184" s="146">
        <v>100</v>
      </c>
      <c r="I1184" s="146">
        <v>100</v>
      </c>
      <c r="J1184" s="146">
        <v>100</v>
      </c>
      <c r="K1184" s="445">
        <f t="shared" si="42"/>
        <v>0</v>
      </c>
      <c r="L1184" s="445">
        <f t="shared" si="43"/>
        <v>0</v>
      </c>
      <c r="M1184" s="445">
        <f t="shared" si="44"/>
        <v>0</v>
      </c>
    </row>
    <row r="1185" spans="1:13" s="439" customFormat="1" x14ac:dyDescent="0.3">
      <c r="A1185" s="124" t="s">
        <v>756</v>
      </c>
      <c r="B1185" s="146" t="s">
        <v>829</v>
      </c>
      <c r="C1185" s="146" t="s">
        <v>1052</v>
      </c>
      <c r="D1185" s="146" t="s">
        <v>1054</v>
      </c>
      <c r="E1185" s="124">
        <v>36.149267399267401</v>
      </c>
      <c r="F1185" s="124">
        <v>26.509157509157511</v>
      </c>
      <c r="G1185" s="124">
        <v>57.5</v>
      </c>
      <c r="H1185" s="124">
        <v>57.5</v>
      </c>
      <c r="I1185" s="124">
        <v>21.350732600732599</v>
      </c>
      <c r="J1185" s="124">
        <v>84.009157509157518</v>
      </c>
      <c r="K1185" s="445">
        <f t="shared" si="42"/>
        <v>-42.5</v>
      </c>
      <c r="L1185" s="445">
        <f t="shared" si="43"/>
        <v>-78.649267399267401</v>
      </c>
      <c r="M1185" s="445">
        <f t="shared" si="44"/>
        <v>-15.990842490842482</v>
      </c>
    </row>
    <row r="1186" spans="1:13" s="439" customFormat="1" x14ac:dyDescent="0.3">
      <c r="A1186" s="124" t="s">
        <v>756</v>
      </c>
      <c r="B1186" s="146" t="s">
        <v>829</v>
      </c>
      <c r="C1186" s="124" t="s">
        <v>1056</v>
      </c>
      <c r="D1186" s="124" t="s">
        <v>1054</v>
      </c>
      <c r="E1186" s="124">
        <v>37.483669108669112</v>
      </c>
      <c r="F1186" s="124">
        <v>13.227716727716727</v>
      </c>
      <c r="G1186" s="124">
        <v>76.25</v>
      </c>
      <c r="H1186" s="124">
        <v>76.25</v>
      </c>
      <c r="I1186" s="124">
        <v>38.766330891330888</v>
      </c>
      <c r="J1186" s="124">
        <v>89.477716727716725</v>
      </c>
      <c r="K1186" s="445">
        <f t="shared" si="42"/>
        <v>-23.75</v>
      </c>
      <c r="L1186" s="445">
        <f t="shared" si="43"/>
        <v>-61.233669108669112</v>
      </c>
      <c r="M1186" s="445">
        <f t="shared" si="44"/>
        <v>-10.522283272283275</v>
      </c>
    </row>
    <row r="1187" spans="1:13" s="439" customFormat="1" x14ac:dyDescent="0.3">
      <c r="A1187" s="124" t="s">
        <v>756</v>
      </c>
      <c r="B1187" s="146" t="s">
        <v>829</v>
      </c>
      <c r="C1187" s="124" t="s">
        <v>1057</v>
      </c>
      <c r="D1187" s="124" t="s">
        <v>1054</v>
      </c>
      <c r="E1187" s="124">
        <v>11.028057889822596</v>
      </c>
      <c r="F1187" s="124">
        <v>4.787581699346406</v>
      </c>
      <c r="G1187" s="124">
        <v>95</v>
      </c>
      <c r="H1187" s="124">
        <v>95</v>
      </c>
      <c r="I1187" s="124">
        <v>83.971942110177409</v>
      </c>
      <c r="J1187" s="124">
        <v>99.787581699346404</v>
      </c>
      <c r="K1187" s="445">
        <f t="shared" si="42"/>
        <v>-5</v>
      </c>
      <c r="L1187" s="445">
        <f t="shared" si="43"/>
        <v>-16.028057889822591</v>
      </c>
      <c r="M1187" s="445">
        <f t="shared" si="44"/>
        <v>-0.21241830065359579</v>
      </c>
    </row>
    <row r="1188" spans="1:13" s="439" customFormat="1" x14ac:dyDescent="0.3">
      <c r="A1188" s="124" t="s">
        <v>756</v>
      </c>
      <c r="B1188" s="146" t="s">
        <v>829</v>
      </c>
      <c r="C1188" s="146" t="s">
        <v>1052</v>
      </c>
      <c r="D1188" s="146" t="s">
        <v>1055</v>
      </c>
      <c r="E1188" s="124">
        <v>30.636446886446887</v>
      </c>
      <c r="F1188" s="124">
        <v>22.124542124542124</v>
      </c>
      <c r="G1188" s="124">
        <v>55.625</v>
      </c>
      <c r="H1188" s="124">
        <v>55.625</v>
      </c>
      <c r="I1188" s="124">
        <v>24.988553113553113</v>
      </c>
      <c r="J1188" s="124">
        <v>77.749542124542131</v>
      </c>
      <c r="K1188" s="445">
        <f t="shared" si="42"/>
        <v>-44.375</v>
      </c>
      <c r="L1188" s="445">
        <f t="shared" si="43"/>
        <v>-75.01144688644689</v>
      </c>
      <c r="M1188" s="445">
        <f t="shared" si="44"/>
        <v>-22.250457875457869</v>
      </c>
    </row>
    <row r="1189" spans="1:13" s="439" customFormat="1" x14ac:dyDescent="0.3">
      <c r="A1189" s="124" t="s">
        <v>756</v>
      </c>
      <c r="B1189" s="146" t="s">
        <v>829</v>
      </c>
      <c r="C1189" s="124" t="s">
        <v>1056</v>
      </c>
      <c r="D1189" s="146" t="s">
        <v>1055</v>
      </c>
      <c r="E1189" s="124">
        <v>37.205128205128204</v>
      </c>
      <c r="F1189" s="124">
        <v>18.493589743589741</v>
      </c>
      <c r="G1189" s="124">
        <v>71.25</v>
      </c>
      <c r="H1189" s="124">
        <v>71.25</v>
      </c>
      <c r="I1189" s="124">
        <v>34.044871794871796</v>
      </c>
      <c r="J1189" s="124">
        <v>89.743589743589737</v>
      </c>
      <c r="K1189" s="445">
        <f t="shared" si="42"/>
        <v>-28.75</v>
      </c>
      <c r="L1189" s="445">
        <f t="shared" si="43"/>
        <v>-65.955128205128204</v>
      </c>
      <c r="M1189" s="445">
        <f t="shared" si="44"/>
        <v>-10.256410256410263</v>
      </c>
    </row>
    <row r="1190" spans="1:13" s="439" customFormat="1" x14ac:dyDescent="0.3">
      <c r="A1190" s="124" t="s">
        <v>756</v>
      </c>
      <c r="B1190" s="146" t="s">
        <v>829</v>
      </c>
      <c r="C1190" s="146" t="s">
        <v>1057</v>
      </c>
      <c r="D1190" s="124" t="s">
        <v>1055</v>
      </c>
      <c r="E1190" s="146">
        <v>22.04594017094017</v>
      </c>
      <c r="F1190" s="124">
        <v>14.834401709401707</v>
      </c>
      <c r="G1190" s="124">
        <v>80.625</v>
      </c>
      <c r="H1190" s="124">
        <v>80.625</v>
      </c>
      <c r="I1190" s="124">
        <v>58.57905982905983</v>
      </c>
      <c r="J1190" s="124">
        <v>95.459401709401703</v>
      </c>
      <c r="K1190" s="445">
        <f t="shared" si="42"/>
        <v>-19.375</v>
      </c>
      <c r="L1190" s="445">
        <f t="shared" si="43"/>
        <v>-41.42094017094017</v>
      </c>
      <c r="M1190" s="445">
        <f t="shared" si="44"/>
        <v>-4.5405982905982967</v>
      </c>
    </row>
    <row r="1191" spans="1:13" s="439" customFormat="1" x14ac:dyDescent="0.3">
      <c r="A1191" s="124" t="s">
        <v>756</v>
      </c>
      <c r="B1191" s="124" t="s">
        <v>788</v>
      </c>
      <c r="C1191" s="124" t="s">
        <v>1052</v>
      </c>
      <c r="D1191" s="124" t="s">
        <v>1053</v>
      </c>
      <c r="E1191" s="124">
        <v>35.095761381475668</v>
      </c>
      <c r="F1191" s="124">
        <v>22.439560439560438</v>
      </c>
      <c r="G1191" s="124">
        <v>73.571428571428569</v>
      </c>
      <c r="H1191" s="124">
        <v>73.571428571428569</v>
      </c>
      <c r="I1191" s="124">
        <v>38.475667189952901</v>
      </c>
      <c r="J1191" s="124">
        <v>96.010989010989007</v>
      </c>
      <c r="K1191" s="445">
        <f t="shared" si="42"/>
        <v>-26.428571428571431</v>
      </c>
      <c r="L1191" s="445">
        <f t="shared" si="43"/>
        <v>-61.524332810047099</v>
      </c>
      <c r="M1191" s="445">
        <f t="shared" si="44"/>
        <v>-3.9890109890109926</v>
      </c>
    </row>
    <row r="1192" spans="1:13" s="439" customFormat="1" x14ac:dyDescent="0.3">
      <c r="A1192" s="124" t="s">
        <v>756</v>
      </c>
      <c r="B1192" s="146" t="s">
        <v>788</v>
      </c>
      <c r="C1192" s="124" t="s">
        <v>1056</v>
      </c>
      <c r="D1192" s="146" t="s">
        <v>1053</v>
      </c>
      <c r="E1192" s="124">
        <v>26.340874811463046</v>
      </c>
      <c r="F1192" s="124">
        <v>8.5836385836385833</v>
      </c>
      <c r="G1192" s="124">
        <v>90</v>
      </c>
      <c r="H1192" s="124">
        <v>90</v>
      </c>
      <c r="I1192" s="124">
        <v>63.659125188536954</v>
      </c>
      <c r="J1192" s="124">
        <v>98.583638583638589</v>
      </c>
      <c r="K1192" s="445">
        <f t="shared" si="42"/>
        <v>-10</v>
      </c>
      <c r="L1192" s="445">
        <f t="shared" si="43"/>
        <v>-36.340874811463046</v>
      </c>
      <c r="M1192" s="445">
        <f t="shared" si="44"/>
        <v>-1.4163614163614113</v>
      </c>
    </row>
    <row r="1193" spans="1:13" s="439" customFormat="1" x14ac:dyDescent="0.3">
      <c r="A1193" s="124" t="s">
        <v>756</v>
      </c>
      <c r="B1193" s="146" t="s">
        <v>788</v>
      </c>
      <c r="C1193" s="146" t="s">
        <v>1057</v>
      </c>
      <c r="D1193" s="146" t="s">
        <v>1053</v>
      </c>
      <c r="E1193" s="124">
        <v>0</v>
      </c>
      <c r="F1193" s="124">
        <v>0</v>
      </c>
      <c r="G1193" s="124">
        <v>100</v>
      </c>
      <c r="H1193" s="124">
        <v>100</v>
      </c>
      <c r="I1193" s="124">
        <v>100</v>
      </c>
      <c r="J1193" s="124">
        <v>100</v>
      </c>
      <c r="K1193" s="445">
        <f t="shared" si="42"/>
        <v>0</v>
      </c>
      <c r="L1193" s="445">
        <f t="shared" si="43"/>
        <v>0</v>
      </c>
      <c r="M1193" s="445">
        <f t="shared" si="44"/>
        <v>0</v>
      </c>
    </row>
    <row r="1194" spans="1:13" s="439" customFormat="1" x14ac:dyDescent="0.3">
      <c r="A1194" s="124" t="s">
        <v>756</v>
      </c>
      <c r="B1194" s="146" t="s">
        <v>788</v>
      </c>
      <c r="C1194" s="146" t="s">
        <v>1052</v>
      </c>
      <c r="D1194" s="146" t="s">
        <v>1054</v>
      </c>
      <c r="E1194" s="124">
        <v>32.469635627530366</v>
      </c>
      <c r="F1194" s="124">
        <v>23.25142526646286</v>
      </c>
      <c r="G1194" s="124">
        <v>72.857142857142861</v>
      </c>
      <c r="H1194" s="124">
        <v>72.857142857142861</v>
      </c>
      <c r="I1194" s="124">
        <v>40.387507229612496</v>
      </c>
      <c r="J1194" s="124">
        <v>96.108568123605721</v>
      </c>
      <c r="K1194" s="445">
        <f t="shared" si="42"/>
        <v>-27.142857142857139</v>
      </c>
      <c r="L1194" s="445">
        <f t="shared" si="43"/>
        <v>-59.612492770387504</v>
      </c>
      <c r="M1194" s="445">
        <f t="shared" si="44"/>
        <v>-3.8914318763942788</v>
      </c>
    </row>
    <row r="1195" spans="1:13" s="439" customFormat="1" x14ac:dyDescent="0.3">
      <c r="A1195" s="124" t="s">
        <v>756</v>
      </c>
      <c r="B1195" s="146" t="s">
        <v>788</v>
      </c>
      <c r="C1195" s="124" t="s">
        <v>1056</v>
      </c>
      <c r="D1195" s="124" t="s">
        <v>1054</v>
      </c>
      <c r="E1195" s="124">
        <v>31.613713771608509</v>
      </c>
      <c r="F1195" s="124">
        <v>11.564423880213353</v>
      </c>
      <c r="G1195" s="124">
        <v>87.142857142857139</v>
      </c>
      <c r="H1195" s="124">
        <v>87.142857142857139</v>
      </c>
      <c r="I1195" s="124">
        <v>55.52914337124863</v>
      </c>
      <c r="J1195" s="124">
        <v>98.707281023070493</v>
      </c>
      <c r="K1195" s="445">
        <f t="shared" si="42"/>
        <v>-12.857142857142861</v>
      </c>
      <c r="L1195" s="445">
        <f t="shared" si="43"/>
        <v>-44.47085662875137</v>
      </c>
      <c r="M1195" s="445">
        <f t="shared" si="44"/>
        <v>-1.2927189769295069</v>
      </c>
    </row>
    <row r="1196" spans="1:13" s="439" customFormat="1" x14ac:dyDescent="0.3">
      <c r="A1196" s="124" t="s">
        <v>756</v>
      </c>
      <c r="B1196" s="146" t="s">
        <v>788</v>
      </c>
      <c r="C1196" s="124" t="s">
        <v>1057</v>
      </c>
      <c r="D1196" s="124" t="s">
        <v>1054</v>
      </c>
      <c r="E1196" s="124">
        <v>10.328664799253035</v>
      </c>
      <c r="F1196" s="124">
        <v>7.8842203548085905</v>
      </c>
      <c r="G1196" s="124">
        <v>96.428571428571431</v>
      </c>
      <c r="H1196" s="124">
        <v>96.428571428571431</v>
      </c>
      <c r="I1196" s="124">
        <v>86.099906629318397</v>
      </c>
      <c r="J1196" s="124">
        <v>104.31279178338002</v>
      </c>
      <c r="K1196" s="445">
        <f t="shared" si="42"/>
        <v>-3.5714285714285694</v>
      </c>
      <c r="L1196" s="445">
        <f t="shared" si="43"/>
        <v>-13.900093370681603</v>
      </c>
      <c r="M1196" s="445">
        <f t="shared" si="44"/>
        <v>4.3127917833800211</v>
      </c>
    </row>
    <row r="1197" spans="1:13" s="439" customFormat="1" x14ac:dyDescent="0.3">
      <c r="A1197" s="124" t="s">
        <v>756</v>
      </c>
      <c r="B1197" s="146" t="s">
        <v>788</v>
      </c>
      <c r="C1197" s="146" t="s">
        <v>1052</v>
      </c>
      <c r="D1197" s="146" t="s">
        <v>1055</v>
      </c>
      <c r="E1197" s="146">
        <v>31.980060040210414</v>
      </c>
      <c r="F1197" s="146">
        <v>17.304525048885953</v>
      </c>
      <c r="G1197" s="146">
        <v>77.857142857142861</v>
      </c>
      <c r="H1197" s="146">
        <v>77.857142857142861</v>
      </c>
      <c r="I1197" s="146">
        <v>45.877082816932443</v>
      </c>
      <c r="J1197" s="146">
        <v>95.161667906028811</v>
      </c>
      <c r="K1197" s="445">
        <f t="shared" si="42"/>
        <v>-22.142857142857139</v>
      </c>
      <c r="L1197" s="445">
        <f t="shared" si="43"/>
        <v>-54.122917183067557</v>
      </c>
      <c r="M1197" s="445">
        <f t="shared" si="44"/>
        <v>-4.8383320939711894</v>
      </c>
    </row>
    <row r="1198" spans="1:13" s="439" customFormat="1" x14ac:dyDescent="0.3">
      <c r="A1198" s="124" t="s">
        <v>756</v>
      </c>
      <c r="B1198" s="146" t="s">
        <v>788</v>
      </c>
      <c r="C1198" s="146" t="s">
        <v>1056</v>
      </c>
      <c r="D1198" s="146" t="s">
        <v>1055</v>
      </c>
      <c r="E1198" s="146">
        <v>33.277112194405433</v>
      </c>
      <c r="F1198" s="146">
        <v>17.540352713285042</v>
      </c>
      <c r="G1198" s="146">
        <v>88.571428571428569</v>
      </c>
      <c r="H1198" s="146">
        <v>88.571428571428569</v>
      </c>
      <c r="I1198" s="146">
        <v>55.294316377023137</v>
      </c>
      <c r="J1198" s="146">
        <v>106.11178128471362</v>
      </c>
      <c r="K1198" s="445">
        <f t="shared" si="42"/>
        <v>-11.428571428571431</v>
      </c>
      <c r="L1198" s="445">
        <f t="shared" si="43"/>
        <v>-44.705683622976863</v>
      </c>
      <c r="M1198" s="445">
        <f t="shared" si="44"/>
        <v>6.111781284713615</v>
      </c>
    </row>
    <row r="1199" spans="1:13" s="439" customFormat="1" x14ac:dyDescent="0.3">
      <c r="A1199" s="124" t="s">
        <v>756</v>
      </c>
      <c r="B1199" s="146" t="s">
        <v>788</v>
      </c>
      <c r="C1199" s="146" t="s">
        <v>1057</v>
      </c>
      <c r="D1199" s="146" t="s">
        <v>1055</v>
      </c>
      <c r="E1199" s="146">
        <v>14.583371810262566</v>
      </c>
      <c r="F1199" s="146">
        <v>13.351207149526477</v>
      </c>
      <c r="G1199" s="146">
        <v>90</v>
      </c>
      <c r="H1199" s="146">
        <v>90</v>
      </c>
      <c r="I1199" s="146">
        <v>75.416628189737438</v>
      </c>
      <c r="J1199" s="146">
        <v>103.35120714952647</v>
      </c>
      <c r="K1199" s="445">
        <f t="shared" si="42"/>
        <v>-10</v>
      </c>
      <c r="L1199" s="445">
        <f t="shared" si="43"/>
        <v>-24.583371810262562</v>
      </c>
      <c r="M1199" s="445">
        <f t="shared" si="44"/>
        <v>3.3512071495264735</v>
      </c>
    </row>
    <row r="1200" spans="1:13" s="439" customFormat="1" x14ac:dyDescent="0.3">
      <c r="A1200" s="124" t="s">
        <v>756</v>
      </c>
      <c r="B1200" s="124" t="s">
        <v>1066</v>
      </c>
      <c r="C1200" s="124" t="s">
        <v>1052</v>
      </c>
      <c r="D1200" s="124" t="s">
        <v>1053</v>
      </c>
      <c r="E1200" s="124">
        <v>28.121094591682827</v>
      </c>
      <c r="F1200" s="124">
        <v>18.821374703727646</v>
      </c>
      <c r="G1200" s="124">
        <v>75</v>
      </c>
      <c r="H1200" s="124">
        <v>75</v>
      </c>
      <c r="I1200" s="124">
        <v>46.878905408317173</v>
      </c>
      <c r="J1200" s="124">
        <v>93.821374703727642</v>
      </c>
      <c r="K1200" s="445">
        <f t="shared" si="42"/>
        <v>-25</v>
      </c>
      <c r="L1200" s="445">
        <f t="shared" si="43"/>
        <v>-53.121094591682827</v>
      </c>
      <c r="M1200" s="445">
        <f t="shared" si="44"/>
        <v>-6.178625296272358</v>
      </c>
    </row>
    <row r="1201" spans="1:13" s="439" customFormat="1" x14ac:dyDescent="0.3">
      <c r="A1201" s="124" t="s">
        <v>756</v>
      </c>
      <c r="B1201" s="146" t="s">
        <v>1066</v>
      </c>
      <c r="C1201" s="124" t="s">
        <v>1056</v>
      </c>
      <c r="D1201" s="146" t="s">
        <v>1053</v>
      </c>
      <c r="E1201" s="124">
        <v>13.336206277382747</v>
      </c>
      <c r="F1201" s="124">
        <v>8.8170652876535236</v>
      </c>
      <c r="G1201" s="124">
        <v>90</v>
      </c>
      <c r="H1201" s="124">
        <v>90</v>
      </c>
      <c r="I1201" s="124">
        <v>76.663793722617257</v>
      </c>
      <c r="J1201" s="124">
        <v>98.81706528765352</v>
      </c>
      <c r="K1201" s="445">
        <f t="shared" si="42"/>
        <v>-10</v>
      </c>
      <c r="L1201" s="445">
        <f t="shared" si="43"/>
        <v>-23.336206277382743</v>
      </c>
      <c r="M1201" s="445">
        <f t="shared" si="44"/>
        <v>-1.18293471234648</v>
      </c>
    </row>
    <row r="1202" spans="1:13" s="439" customFormat="1" x14ac:dyDescent="0.3">
      <c r="A1202" s="124" t="s">
        <v>756</v>
      </c>
      <c r="B1202" s="146" t="s">
        <v>1066</v>
      </c>
      <c r="C1202" s="146" t="s">
        <v>1057</v>
      </c>
      <c r="D1202" s="146" t="s">
        <v>1053</v>
      </c>
      <c r="E1202" s="124">
        <v>0</v>
      </c>
      <c r="F1202" s="124">
        <v>0</v>
      </c>
      <c r="G1202" s="124">
        <v>100</v>
      </c>
      <c r="H1202" s="124">
        <v>100</v>
      </c>
      <c r="I1202" s="124">
        <v>100</v>
      </c>
      <c r="J1202" s="124">
        <v>100</v>
      </c>
      <c r="K1202" s="445">
        <f t="shared" si="42"/>
        <v>0</v>
      </c>
      <c r="L1202" s="445">
        <f t="shared" si="43"/>
        <v>0</v>
      </c>
      <c r="M1202" s="445">
        <f t="shared" si="44"/>
        <v>0</v>
      </c>
    </row>
    <row r="1203" spans="1:13" s="439" customFormat="1" x14ac:dyDescent="0.3">
      <c r="A1203" s="124" t="s">
        <v>756</v>
      </c>
      <c r="B1203" s="146" t="s">
        <v>1066</v>
      </c>
      <c r="C1203" s="146" t="s">
        <v>1052</v>
      </c>
      <c r="D1203" s="146" t="s">
        <v>1054</v>
      </c>
      <c r="E1203" s="124">
        <v>34.214608920491273</v>
      </c>
      <c r="F1203" s="124">
        <v>19.284636931695758</v>
      </c>
      <c r="G1203" s="124">
        <v>76.428571428571431</v>
      </c>
      <c r="H1203" s="124">
        <v>76.428571428571431</v>
      </c>
      <c r="I1203" s="124">
        <v>42.213962508080158</v>
      </c>
      <c r="J1203" s="124">
        <v>95.713208360267188</v>
      </c>
      <c r="K1203" s="445">
        <f t="shared" si="42"/>
        <v>-23.571428571428569</v>
      </c>
      <c r="L1203" s="445">
        <f t="shared" si="43"/>
        <v>-57.786037491919842</v>
      </c>
      <c r="M1203" s="445">
        <f t="shared" si="44"/>
        <v>-4.2867916397328116</v>
      </c>
    </row>
    <row r="1204" spans="1:13" s="439" customFormat="1" x14ac:dyDescent="0.3">
      <c r="A1204" s="124" t="s">
        <v>756</v>
      </c>
      <c r="B1204" s="146" t="s">
        <v>1066</v>
      </c>
      <c r="C1204" s="124" t="s">
        <v>1056</v>
      </c>
      <c r="D1204" s="124" t="s">
        <v>1054</v>
      </c>
      <c r="E1204" s="124">
        <v>20.590677296559651</v>
      </c>
      <c r="F1204" s="124">
        <v>7.5513897866839041</v>
      </c>
      <c r="G1204" s="124">
        <v>92.142857142857139</v>
      </c>
      <c r="H1204" s="124">
        <v>92.142857142857139</v>
      </c>
      <c r="I1204" s="124">
        <v>71.552179846297491</v>
      </c>
      <c r="J1204" s="124">
        <v>99.694246929541038</v>
      </c>
      <c r="K1204" s="445">
        <f t="shared" si="42"/>
        <v>-7.8571428571428612</v>
      </c>
      <c r="L1204" s="445">
        <f t="shared" si="43"/>
        <v>-28.447820153702509</v>
      </c>
      <c r="M1204" s="445">
        <f t="shared" si="44"/>
        <v>-0.30575307045896238</v>
      </c>
    </row>
    <row r="1205" spans="1:13" s="439" customFormat="1" x14ac:dyDescent="0.3">
      <c r="A1205" s="124" t="s">
        <v>756</v>
      </c>
      <c r="B1205" s="146" t="s">
        <v>1066</v>
      </c>
      <c r="C1205" s="124" t="s">
        <v>1057</v>
      </c>
      <c r="D1205" s="124" t="s">
        <v>1054</v>
      </c>
      <c r="E1205" s="124">
        <v>8.6685340802987874</v>
      </c>
      <c r="F1205" s="124">
        <v>3.858076563958917</v>
      </c>
      <c r="G1205" s="124">
        <v>100</v>
      </c>
      <c r="H1205" s="124">
        <v>100</v>
      </c>
      <c r="I1205" s="124">
        <v>91.331465919701216</v>
      </c>
      <c r="J1205" s="124">
        <v>103.85807656395892</v>
      </c>
      <c r="K1205" s="445">
        <f t="shared" si="42"/>
        <v>0</v>
      </c>
      <c r="L1205" s="445">
        <f t="shared" si="43"/>
        <v>-8.6685340802987838</v>
      </c>
      <c r="M1205" s="445">
        <f t="shared" si="44"/>
        <v>3.8580765639589174</v>
      </c>
    </row>
    <row r="1206" spans="1:13" s="439" customFormat="1" x14ac:dyDescent="0.3">
      <c r="A1206" s="124" t="s">
        <v>756</v>
      </c>
      <c r="B1206" s="146" t="s">
        <v>1066</v>
      </c>
      <c r="C1206" s="146" t="s">
        <v>1052</v>
      </c>
      <c r="D1206" s="146" t="s">
        <v>1055</v>
      </c>
      <c r="E1206" s="146">
        <v>31.130144365438479</v>
      </c>
      <c r="F1206" s="146">
        <v>8.7750484809308329</v>
      </c>
      <c r="G1206" s="146">
        <v>91.428571428571431</v>
      </c>
      <c r="H1206" s="146">
        <v>91.428571428571431</v>
      </c>
      <c r="I1206" s="146">
        <v>60.298427063132948</v>
      </c>
      <c r="J1206" s="146">
        <v>100.20361990950227</v>
      </c>
      <c r="K1206" s="445">
        <f t="shared" si="42"/>
        <v>-8.5714285714285694</v>
      </c>
      <c r="L1206" s="445">
        <f t="shared" si="43"/>
        <v>-39.701572936867052</v>
      </c>
      <c r="M1206" s="445">
        <f t="shared" si="44"/>
        <v>0.20361990950226527</v>
      </c>
    </row>
    <row r="1207" spans="1:13" s="439" customFormat="1" x14ac:dyDescent="0.3">
      <c r="A1207" s="124" t="s">
        <v>756</v>
      </c>
      <c r="B1207" s="146" t="s">
        <v>1066</v>
      </c>
      <c r="C1207" s="146" t="s">
        <v>1056</v>
      </c>
      <c r="D1207" s="146" t="s">
        <v>1055</v>
      </c>
      <c r="E1207" s="146">
        <v>21.956474897651368</v>
      </c>
      <c r="F1207" s="146">
        <v>10.379228614522731</v>
      </c>
      <c r="G1207" s="146">
        <v>95.714285714285708</v>
      </c>
      <c r="H1207" s="146">
        <v>95.714285714285708</v>
      </c>
      <c r="I1207" s="146">
        <v>73.757810816634333</v>
      </c>
      <c r="J1207" s="146">
        <v>106.09351432880844</v>
      </c>
      <c r="K1207" s="445">
        <f t="shared" si="42"/>
        <v>-4.2857142857142918</v>
      </c>
      <c r="L1207" s="445">
        <f t="shared" si="43"/>
        <v>-26.242189183365667</v>
      </c>
      <c r="M1207" s="445">
        <f t="shared" si="44"/>
        <v>6.093514328808439</v>
      </c>
    </row>
    <row r="1208" spans="1:13" s="439" customFormat="1" x14ac:dyDescent="0.3">
      <c r="A1208" s="124" t="s">
        <v>756</v>
      </c>
      <c r="B1208" s="146" t="s">
        <v>1066</v>
      </c>
      <c r="C1208" s="146" t="s">
        <v>1057</v>
      </c>
      <c r="D1208" s="146" t="s">
        <v>1055</v>
      </c>
      <c r="E1208" s="146">
        <v>13.993535875888819</v>
      </c>
      <c r="F1208" s="146">
        <v>7.3613445378151265</v>
      </c>
      <c r="G1208" s="146">
        <v>98.571428571428569</v>
      </c>
      <c r="H1208" s="146">
        <v>98.571428571428569</v>
      </c>
      <c r="I1208" s="146">
        <v>84.577892695539745</v>
      </c>
      <c r="J1208" s="146">
        <v>105.9327731092437</v>
      </c>
      <c r="K1208" s="445">
        <f t="shared" si="42"/>
        <v>-1.4285714285714306</v>
      </c>
      <c r="L1208" s="445">
        <f t="shared" si="43"/>
        <v>-15.422107304460255</v>
      </c>
      <c r="M1208" s="445">
        <f t="shared" si="44"/>
        <v>5.9327731092436977</v>
      </c>
    </row>
    <row r="1209" spans="1:13" s="439" customFormat="1" x14ac:dyDescent="0.3">
      <c r="A1209" s="124" t="s">
        <v>756</v>
      </c>
      <c r="B1209" s="124" t="s">
        <v>831</v>
      </c>
      <c r="C1209" s="124" t="s">
        <v>1052</v>
      </c>
      <c r="D1209" s="124" t="s">
        <v>1053</v>
      </c>
      <c r="E1209" s="124">
        <v>21.660910518053374</v>
      </c>
      <c r="F1209" s="124">
        <v>30.863422291993718</v>
      </c>
      <c r="G1209" s="124">
        <v>34.285714285714285</v>
      </c>
      <c r="H1209" s="124">
        <v>34.285714285714285</v>
      </c>
      <c r="I1209" s="124">
        <v>12.624803767660911</v>
      </c>
      <c r="J1209" s="124">
        <v>65.149136577708006</v>
      </c>
      <c r="K1209" s="445">
        <f t="shared" si="42"/>
        <v>-65.714285714285722</v>
      </c>
      <c r="L1209" s="445">
        <f t="shared" si="43"/>
        <v>-87.375196232339093</v>
      </c>
      <c r="M1209" s="445">
        <f t="shared" si="44"/>
        <v>-34.850863422291994</v>
      </c>
    </row>
    <row r="1210" spans="1:13" s="439" customFormat="1" x14ac:dyDescent="0.3">
      <c r="A1210" s="124" t="s">
        <v>756</v>
      </c>
      <c r="B1210" s="146" t="s">
        <v>831</v>
      </c>
      <c r="C1210" s="124" t="s">
        <v>1056</v>
      </c>
      <c r="D1210" s="146" t="s">
        <v>1053</v>
      </c>
      <c r="E1210" s="124">
        <v>21.684981684981686</v>
      </c>
      <c r="F1210" s="124">
        <v>21.970695970695971</v>
      </c>
      <c r="G1210" s="124">
        <v>70</v>
      </c>
      <c r="H1210" s="124">
        <v>70</v>
      </c>
      <c r="I1210" s="124">
        <v>48.315018315018314</v>
      </c>
      <c r="J1210" s="124">
        <v>91.970695970695971</v>
      </c>
      <c r="K1210" s="445">
        <f t="shared" si="42"/>
        <v>-30</v>
      </c>
      <c r="L1210" s="445">
        <f t="shared" si="43"/>
        <v>-51.684981684981686</v>
      </c>
      <c r="M1210" s="445">
        <f t="shared" si="44"/>
        <v>-8.0293040293040292</v>
      </c>
    </row>
    <row r="1211" spans="1:13" s="439" customFormat="1" x14ac:dyDescent="0.3">
      <c r="A1211" s="124" t="s">
        <v>756</v>
      </c>
      <c r="B1211" s="146" t="s">
        <v>831</v>
      </c>
      <c r="C1211" s="146" t="s">
        <v>1057</v>
      </c>
      <c r="D1211" s="146" t="s">
        <v>1053</v>
      </c>
      <c r="E1211" s="124">
        <v>0</v>
      </c>
      <c r="F1211" s="124">
        <v>0</v>
      </c>
      <c r="G1211" s="124">
        <v>100</v>
      </c>
      <c r="H1211" s="124">
        <v>100</v>
      </c>
      <c r="I1211" s="124">
        <v>100</v>
      </c>
      <c r="J1211" s="124">
        <v>100</v>
      </c>
      <c r="K1211" s="445">
        <f t="shared" si="42"/>
        <v>0</v>
      </c>
      <c r="L1211" s="445">
        <f t="shared" si="43"/>
        <v>0</v>
      </c>
      <c r="M1211" s="445">
        <f t="shared" si="44"/>
        <v>0</v>
      </c>
    </row>
    <row r="1212" spans="1:13" s="439" customFormat="1" x14ac:dyDescent="0.3">
      <c r="A1212" s="124" t="s">
        <v>756</v>
      </c>
      <c r="B1212" s="146" t="s">
        <v>831</v>
      </c>
      <c r="C1212" s="146" t="s">
        <v>1052</v>
      </c>
      <c r="D1212" s="146" t="s">
        <v>1054</v>
      </c>
      <c r="E1212" s="124">
        <v>26.137100994243848</v>
      </c>
      <c r="F1212" s="124">
        <v>30.716902145473572</v>
      </c>
      <c r="G1212" s="124">
        <v>42.857142857142854</v>
      </c>
      <c r="H1212" s="124">
        <v>42.857142857142854</v>
      </c>
      <c r="I1212" s="124">
        <v>16.720041862899006</v>
      </c>
      <c r="J1212" s="124">
        <v>73.57404500261643</v>
      </c>
      <c r="K1212" s="445">
        <f t="shared" si="42"/>
        <v>-57.142857142857146</v>
      </c>
      <c r="L1212" s="445">
        <f t="shared" si="43"/>
        <v>-83.279958137100991</v>
      </c>
      <c r="M1212" s="445">
        <f t="shared" si="44"/>
        <v>-26.42595499738357</v>
      </c>
    </row>
    <row r="1213" spans="1:13" s="439" customFormat="1" x14ac:dyDescent="0.3">
      <c r="A1213" s="124" t="s">
        <v>756</v>
      </c>
      <c r="B1213" s="146" t="s">
        <v>831</v>
      </c>
      <c r="C1213" s="124" t="s">
        <v>1056</v>
      </c>
      <c r="D1213" s="124" t="s">
        <v>1054</v>
      </c>
      <c r="E1213" s="124">
        <v>30.03052503052503</v>
      </c>
      <c r="F1213" s="124">
        <v>21.272283272283271</v>
      </c>
      <c r="G1213" s="124">
        <v>76.428571428571431</v>
      </c>
      <c r="H1213" s="124">
        <v>76.428571428571431</v>
      </c>
      <c r="I1213" s="124">
        <v>46.398046398046404</v>
      </c>
      <c r="J1213" s="124">
        <v>97.700854700854705</v>
      </c>
      <c r="K1213" s="445">
        <f t="shared" si="42"/>
        <v>-23.571428571428569</v>
      </c>
      <c r="L1213" s="445">
        <f t="shared" si="43"/>
        <v>-53.601953601953596</v>
      </c>
      <c r="M1213" s="445">
        <f t="shared" si="44"/>
        <v>-2.2991452991452945</v>
      </c>
    </row>
    <row r="1214" spans="1:13" x14ac:dyDescent="0.3">
      <c r="A1214" s="124" t="s">
        <v>756</v>
      </c>
      <c r="B1214" s="146" t="s">
        <v>831</v>
      </c>
      <c r="C1214" s="124" t="s">
        <v>1057</v>
      </c>
      <c r="D1214" s="124" t="s">
        <v>1054</v>
      </c>
      <c r="E1214" s="124">
        <v>10.23342670401494</v>
      </c>
      <c r="F1214" s="124">
        <v>3.3064425770308126</v>
      </c>
      <c r="G1214" s="124">
        <v>100</v>
      </c>
      <c r="H1214" s="124">
        <v>100</v>
      </c>
      <c r="I1214" s="124">
        <v>89.766573295985054</v>
      </c>
      <c r="J1214" s="124">
        <v>103.30644257703081</v>
      </c>
      <c r="K1214" s="445">
        <f t="shared" si="42"/>
        <v>0</v>
      </c>
      <c r="L1214" s="445">
        <f t="shared" si="43"/>
        <v>-10.233426704014946</v>
      </c>
      <c r="M1214" s="445">
        <f t="shared" si="44"/>
        <v>3.3064425770308077</v>
      </c>
    </row>
    <row r="1215" spans="1:13" x14ac:dyDescent="0.3">
      <c r="A1215" s="124" t="s">
        <v>756</v>
      </c>
      <c r="B1215" s="146" t="s">
        <v>831</v>
      </c>
      <c r="C1215" s="146" t="s">
        <v>1052</v>
      </c>
      <c r="D1215" s="146" t="s">
        <v>1055</v>
      </c>
      <c r="E1215" s="124">
        <v>33.301936159079013</v>
      </c>
      <c r="F1215" s="124">
        <v>29.022152450723883</v>
      </c>
      <c r="G1215" s="124">
        <v>70</v>
      </c>
      <c r="H1215" s="124">
        <v>70</v>
      </c>
      <c r="I1215" s="124">
        <v>36.698063840920987</v>
      </c>
      <c r="J1215" s="124">
        <v>99.02215245072388</v>
      </c>
      <c r="K1215" s="445">
        <f t="shared" ref="K1215:K1278" si="45">0-(100-H1215)</f>
        <v>-30</v>
      </c>
      <c r="L1215" s="445">
        <f t="shared" ref="L1215:L1278" si="46">0-(100-I1215)</f>
        <v>-63.301936159079013</v>
      </c>
      <c r="M1215" s="445">
        <f t="shared" ref="M1215:M1278" si="47">0-(100-J1215)</f>
        <v>-0.97784754927612028</v>
      </c>
    </row>
    <row r="1216" spans="1:13" x14ac:dyDescent="0.3">
      <c r="A1216" s="124" t="s">
        <v>756</v>
      </c>
      <c r="B1216" s="146" t="s">
        <v>831</v>
      </c>
      <c r="C1216" s="146" t="s">
        <v>1056</v>
      </c>
      <c r="D1216" s="146" t="s">
        <v>1055</v>
      </c>
      <c r="E1216" s="146">
        <v>28.41758241758242</v>
      </c>
      <c r="F1216" s="146">
        <v>14.916971916971915</v>
      </c>
      <c r="G1216" s="146">
        <v>90</v>
      </c>
      <c r="H1216" s="146">
        <v>90</v>
      </c>
      <c r="I1216" s="146">
        <v>61.582417582417577</v>
      </c>
      <c r="J1216" s="146">
        <v>104.91697191697192</v>
      </c>
      <c r="K1216" s="445">
        <f t="shared" si="45"/>
        <v>-10</v>
      </c>
      <c r="L1216" s="445">
        <f t="shared" si="46"/>
        <v>-38.417582417582423</v>
      </c>
      <c r="M1216" s="445">
        <f t="shared" si="47"/>
        <v>4.9169719169719173</v>
      </c>
    </row>
    <row r="1217" spans="1:13" x14ac:dyDescent="0.3">
      <c r="A1217" s="124" t="s">
        <v>756</v>
      </c>
      <c r="B1217" s="146" t="s">
        <v>831</v>
      </c>
      <c r="C1217" s="146" t="s">
        <v>1057</v>
      </c>
      <c r="D1217" s="146" t="s">
        <v>1055</v>
      </c>
      <c r="E1217" s="146">
        <v>25.21123321123321</v>
      </c>
      <c r="F1217" s="146">
        <v>9.8852258852258839</v>
      </c>
      <c r="G1217" s="146">
        <v>98.571428571428569</v>
      </c>
      <c r="H1217" s="146">
        <v>98.571428571428569</v>
      </c>
      <c r="I1217" s="146">
        <v>73.360195360195362</v>
      </c>
      <c r="J1217" s="146">
        <v>108.45665445665445</v>
      </c>
      <c r="K1217" s="445">
        <f t="shared" si="45"/>
        <v>-1.4285714285714306</v>
      </c>
      <c r="L1217" s="445">
        <f t="shared" si="46"/>
        <v>-26.639804639804638</v>
      </c>
      <c r="M1217" s="445">
        <f t="shared" si="47"/>
        <v>8.4566544566544479</v>
      </c>
    </row>
    <row r="1218" spans="1:13" x14ac:dyDescent="0.3">
      <c r="A1218" s="124" t="s">
        <v>756</v>
      </c>
      <c r="B1218" s="124" t="s">
        <v>1067</v>
      </c>
      <c r="C1218" s="124" t="s">
        <v>1052</v>
      </c>
      <c r="D1218" s="124" t="s">
        <v>1053</v>
      </c>
      <c r="E1218" s="124">
        <v>29.542891319207108</v>
      </c>
      <c r="F1218" s="124">
        <v>6.6532809295967192</v>
      </c>
      <c r="G1218" s="124">
        <v>91.875</v>
      </c>
      <c r="H1218" s="124">
        <v>91.875</v>
      </c>
      <c r="I1218" s="124">
        <v>62.332108680792892</v>
      </c>
      <c r="J1218" s="124">
        <v>98.528280929596718</v>
      </c>
      <c r="K1218" s="445">
        <f t="shared" si="45"/>
        <v>-8.125</v>
      </c>
      <c r="L1218" s="445">
        <f t="shared" si="46"/>
        <v>-37.667891319207108</v>
      </c>
      <c r="M1218" s="445">
        <f t="shared" si="47"/>
        <v>-1.4717190704032816</v>
      </c>
    </row>
    <row r="1219" spans="1:13" x14ac:dyDescent="0.3">
      <c r="A1219" s="124" t="s">
        <v>756</v>
      </c>
      <c r="B1219" s="146" t="s">
        <v>1067</v>
      </c>
      <c r="C1219" s="124" t="s">
        <v>1056</v>
      </c>
      <c r="D1219" s="146" t="s">
        <v>1053</v>
      </c>
      <c r="E1219" s="124">
        <v>2.84992784992785</v>
      </c>
      <c r="F1219" s="124">
        <v>2.3737373737373737</v>
      </c>
      <c r="G1219" s="124">
        <v>98.125</v>
      </c>
      <c r="H1219" s="124">
        <v>98.125</v>
      </c>
      <c r="I1219" s="124">
        <v>95.275072150072148</v>
      </c>
      <c r="J1219" s="124">
        <v>100.49873737373737</v>
      </c>
      <c r="K1219" s="445">
        <f t="shared" si="45"/>
        <v>-1.875</v>
      </c>
      <c r="L1219" s="445">
        <f t="shared" si="46"/>
        <v>-4.7249278499278518</v>
      </c>
      <c r="M1219" s="445">
        <f t="shared" si="47"/>
        <v>0.49873737373737015</v>
      </c>
    </row>
    <row r="1220" spans="1:13" x14ac:dyDescent="0.3">
      <c r="A1220" s="124" t="s">
        <v>756</v>
      </c>
      <c r="B1220" s="146" t="s">
        <v>1067</v>
      </c>
      <c r="C1220" s="146" t="s">
        <v>1057</v>
      </c>
      <c r="D1220" s="146" t="s">
        <v>1053</v>
      </c>
      <c r="E1220" s="124">
        <v>0</v>
      </c>
      <c r="F1220" s="124">
        <v>0</v>
      </c>
      <c r="G1220" s="124">
        <v>100</v>
      </c>
      <c r="H1220" s="124">
        <v>100</v>
      </c>
      <c r="I1220" s="124">
        <v>100</v>
      </c>
      <c r="J1220" s="124">
        <v>100</v>
      </c>
      <c r="K1220" s="445">
        <f t="shared" si="45"/>
        <v>0</v>
      </c>
      <c r="L1220" s="445">
        <f t="shared" si="46"/>
        <v>0</v>
      </c>
      <c r="M1220" s="445">
        <f t="shared" si="47"/>
        <v>0</v>
      </c>
    </row>
    <row r="1221" spans="1:13" x14ac:dyDescent="0.3">
      <c r="A1221" s="124" t="s">
        <v>756</v>
      </c>
      <c r="B1221" s="146" t="s">
        <v>1067</v>
      </c>
      <c r="C1221" s="146" t="s">
        <v>1052</v>
      </c>
      <c r="D1221" s="146" t="s">
        <v>1054</v>
      </c>
      <c r="E1221" s="124">
        <v>42.256216006216007</v>
      </c>
      <c r="F1221" s="124">
        <v>19.446109446109446</v>
      </c>
      <c r="G1221" s="124">
        <v>80.625</v>
      </c>
      <c r="H1221" s="124">
        <v>80.625</v>
      </c>
      <c r="I1221" s="124">
        <v>38.368783993783993</v>
      </c>
      <c r="J1221" s="124">
        <v>100.07110944610945</v>
      </c>
      <c r="K1221" s="445">
        <f t="shared" si="45"/>
        <v>-19.375</v>
      </c>
      <c r="L1221" s="445">
        <f t="shared" si="46"/>
        <v>-61.631216006216007</v>
      </c>
      <c r="M1221" s="445">
        <f t="shared" si="47"/>
        <v>7.1109446109446139E-2</v>
      </c>
    </row>
    <row r="1222" spans="1:13" x14ac:dyDescent="0.3">
      <c r="A1222" s="124" t="s">
        <v>756</v>
      </c>
      <c r="B1222" s="146" t="s">
        <v>1067</v>
      </c>
      <c r="C1222" s="146" t="s">
        <v>1056</v>
      </c>
      <c r="D1222" s="146" t="s">
        <v>1054</v>
      </c>
      <c r="E1222" s="146">
        <v>17.95066045066045</v>
      </c>
      <c r="F1222" s="146">
        <v>8.587523587523588</v>
      </c>
      <c r="G1222" s="146">
        <v>94.375</v>
      </c>
      <c r="H1222" s="146">
        <v>94.375</v>
      </c>
      <c r="I1222" s="146">
        <v>76.42433954933955</v>
      </c>
      <c r="J1222" s="146">
        <v>102.96252358752359</v>
      </c>
      <c r="K1222" s="445">
        <f t="shared" si="45"/>
        <v>-5.625</v>
      </c>
      <c r="L1222" s="445">
        <f t="shared" si="46"/>
        <v>-23.57566045066045</v>
      </c>
      <c r="M1222" s="445">
        <f t="shared" si="47"/>
        <v>2.9625235875235916</v>
      </c>
    </row>
    <row r="1223" spans="1:13" x14ac:dyDescent="0.3">
      <c r="A1223" s="124" t="s">
        <v>756</v>
      </c>
      <c r="B1223" s="146" t="s">
        <v>1067</v>
      </c>
      <c r="C1223" s="146" t="s">
        <v>1057</v>
      </c>
      <c r="D1223" s="146" t="s">
        <v>1054</v>
      </c>
      <c r="E1223" s="146">
        <v>12.473972922502336</v>
      </c>
      <c r="F1223" s="146">
        <v>7.0891690009337065</v>
      </c>
      <c r="G1223" s="146">
        <v>96.875</v>
      </c>
      <c r="H1223" s="146">
        <v>96.875</v>
      </c>
      <c r="I1223" s="146">
        <v>84.401027077497659</v>
      </c>
      <c r="J1223" s="146">
        <v>103.96416900093371</v>
      </c>
      <c r="K1223" s="445">
        <f t="shared" si="45"/>
        <v>-3.125</v>
      </c>
      <c r="L1223" s="445">
        <f t="shared" si="46"/>
        <v>-15.598972922502341</v>
      </c>
      <c r="M1223" s="445">
        <f t="shared" si="47"/>
        <v>3.9641690009337083</v>
      </c>
    </row>
    <row r="1224" spans="1:13" x14ac:dyDescent="0.3">
      <c r="A1224" s="124" t="s">
        <v>756</v>
      </c>
      <c r="B1224" s="146" t="s">
        <v>1067</v>
      </c>
      <c r="C1224" s="146" t="s">
        <v>1052</v>
      </c>
      <c r="D1224" s="146" t="s">
        <v>1055</v>
      </c>
      <c r="E1224" s="124">
        <v>30.658200133200133</v>
      </c>
      <c r="F1224" s="124">
        <v>22.394522144522142</v>
      </c>
      <c r="G1224" s="124">
        <v>56.5</v>
      </c>
      <c r="H1224" s="124">
        <v>56.5</v>
      </c>
      <c r="I1224" s="124">
        <v>25.841799866799867</v>
      </c>
      <c r="J1224" s="124">
        <v>78.894522144522142</v>
      </c>
      <c r="K1224" s="445">
        <f t="shared" si="45"/>
        <v>-43.5</v>
      </c>
      <c r="L1224" s="445">
        <f t="shared" si="46"/>
        <v>-74.158200133200125</v>
      </c>
      <c r="M1224" s="445">
        <f t="shared" si="47"/>
        <v>-21.105477855477858</v>
      </c>
    </row>
    <row r="1225" spans="1:13" x14ac:dyDescent="0.3">
      <c r="A1225" s="124" t="s">
        <v>756</v>
      </c>
      <c r="B1225" s="146" t="s">
        <v>1067</v>
      </c>
      <c r="C1225" s="124" t="s">
        <v>1056</v>
      </c>
      <c r="D1225" s="124" t="s">
        <v>1055</v>
      </c>
      <c r="E1225" s="124">
        <v>17.366425241425244</v>
      </c>
      <c r="F1225" s="124">
        <v>26.372335997335998</v>
      </c>
      <c r="G1225" s="124">
        <v>67.75</v>
      </c>
      <c r="H1225" s="124">
        <v>67.75</v>
      </c>
      <c r="I1225" s="124">
        <v>50.383574758574753</v>
      </c>
      <c r="J1225" s="124">
        <v>94.122335997335995</v>
      </c>
      <c r="K1225" s="445">
        <f t="shared" si="45"/>
        <v>-32.25</v>
      </c>
      <c r="L1225" s="445">
        <f t="shared" si="46"/>
        <v>-49.616425241425247</v>
      </c>
      <c r="M1225" s="445">
        <f t="shared" si="47"/>
        <v>-5.8776640026640052</v>
      </c>
    </row>
    <row r="1226" spans="1:13" x14ac:dyDescent="0.3">
      <c r="A1226" s="124" t="s">
        <v>756</v>
      </c>
      <c r="B1226" s="146" t="s">
        <v>1067</v>
      </c>
      <c r="C1226" s="146" t="s">
        <v>1057</v>
      </c>
      <c r="D1226" s="146" t="s">
        <v>1055</v>
      </c>
      <c r="E1226" s="146">
        <v>20.243506493506494</v>
      </c>
      <c r="F1226" s="124">
        <v>23.975649350649352</v>
      </c>
      <c r="G1226" s="124">
        <v>75.875</v>
      </c>
      <c r="H1226" s="124">
        <v>75.875</v>
      </c>
      <c r="I1226" s="124">
        <v>55.631493506493506</v>
      </c>
      <c r="J1226" s="124">
        <v>99.850649350649348</v>
      </c>
      <c r="K1226" s="445">
        <f t="shared" si="45"/>
        <v>-24.125</v>
      </c>
      <c r="L1226" s="445">
        <f t="shared" si="46"/>
        <v>-44.368506493506494</v>
      </c>
      <c r="M1226" s="445">
        <f t="shared" si="47"/>
        <v>-0.14935064935065157</v>
      </c>
    </row>
    <row r="1227" spans="1:13" x14ac:dyDescent="0.3">
      <c r="A1227" s="124" t="s">
        <v>756</v>
      </c>
      <c r="B1227" s="124" t="s">
        <v>773</v>
      </c>
      <c r="C1227" s="124" t="s">
        <v>1052</v>
      </c>
      <c r="D1227" s="124" t="s">
        <v>1053</v>
      </c>
      <c r="E1227" s="124">
        <v>15.751346692523166</v>
      </c>
      <c r="F1227" s="124">
        <v>27.003786129836552</v>
      </c>
      <c r="G1227" s="124">
        <v>45</v>
      </c>
      <c r="H1227" s="124">
        <v>45</v>
      </c>
      <c r="I1227" s="124">
        <v>29.248653307476836</v>
      </c>
      <c r="J1227" s="124">
        <v>72.003786129836556</v>
      </c>
      <c r="K1227" s="445">
        <f t="shared" si="45"/>
        <v>-55</v>
      </c>
      <c r="L1227" s="445">
        <f t="shared" si="46"/>
        <v>-70.751346692523157</v>
      </c>
      <c r="M1227" s="445">
        <f t="shared" si="47"/>
        <v>-27.996213870163444</v>
      </c>
    </row>
    <row r="1228" spans="1:13" x14ac:dyDescent="0.3">
      <c r="A1228" s="124" t="s">
        <v>756</v>
      </c>
      <c r="B1228" s="146" t="s">
        <v>773</v>
      </c>
      <c r="C1228" s="124" t="s">
        <v>1056</v>
      </c>
      <c r="D1228" s="146" t="s">
        <v>1053</v>
      </c>
      <c r="E1228" s="124">
        <v>18.02314772062671</v>
      </c>
      <c r="F1228" s="124">
        <v>15.405977775725676</v>
      </c>
      <c r="G1228" s="124">
        <v>78.571428571428569</v>
      </c>
      <c r="H1228" s="124">
        <v>78.571428571428569</v>
      </c>
      <c r="I1228" s="124">
        <v>60.548280850801859</v>
      </c>
      <c r="J1228" s="124">
        <v>93.977406347154243</v>
      </c>
      <c r="K1228" s="445">
        <f t="shared" si="45"/>
        <v>-21.428571428571431</v>
      </c>
      <c r="L1228" s="445">
        <f t="shared" si="46"/>
        <v>-39.451719149198141</v>
      </c>
      <c r="M1228" s="445">
        <f t="shared" si="47"/>
        <v>-6.0225936528457567</v>
      </c>
    </row>
    <row r="1229" spans="1:13" x14ac:dyDescent="0.3">
      <c r="A1229" s="124" t="s">
        <v>756</v>
      </c>
      <c r="B1229" s="146" t="s">
        <v>773</v>
      </c>
      <c r="C1229" s="146" t="s">
        <v>1057</v>
      </c>
      <c r="D1229" s="146" t="s">
        <v>1053</v>
      </c>
      <c r="E1229" s="124">
        <v>0</v>
      </c>
      <c r="F1229" s="124">
        <v>0</v>
      </c>
      <c r="G1229" s="124">
        <v>100</v>
      </c>
      <c r="H1229" s="124">
        <v>100</v>
      </c>
      <c r="I1229" s="124">
        <v>100</v>
      </c>
      <c r="J1229" s="124">
        <v>100</v>
      </c>
      <c r="K1229" s="445">
        <f t="shared" si="45"/>
        <v>0</v>
      </c>
      <c r="L1229" s="445">
        <f t="shared" si="46"/>
        <v>0</v>
      </c>
      <c r="M1229" s="445">
        <f t="shared" si="47"/>
        <v>0</v>
      </c>
    </row>
    <row r="1230" spans="1:13" x14ac:dyDescent="0.3">
      <c r="A1230" s="124" t="s">
        <v>756</v>
      </c>
      <c r="B1230" s="146" t="s">
        <v>773</v>
      </c>
      <c r="C1230" s="146" t="s">
        <v>1052</v>
      </c>
      <c r="D1230" s="146" t="s">
        <v>1054</v>
      </c>
      <c r="E1230" s="124">
        <v>20.414350355526828</v>
      </c>
      <c r="F1230" s="124">
        <v>29.217810201003477</v>
      </c>
      <c r="G1230" s="124">
        <v>50.714285714285715</v>
      </c>
      <c r="H1230" s="124">
        <v>50.714285714285715</v>
      </c>
      <c r="I1230" s="124">
        <v>30.299935358758887</v>
      </c>
      <c r="J1230" s="124">
        <v>79.932095915289196</v>
      </c>
      <c r="K1230" s="445">
        <f t="shared" si="45"/>
        <v>-49.285714285714285</v>
      </c>
      <c r="L1230" s="445">
        <f t="shared" si="46"/>
        <v>-69.700064641241113</v>
      </c>
      <c r="M1230" s="445">
        <f t="shared" si="47"/>
        <v>-20.067904084710804</v>
      </c>
    </row>
    <row r="1231" spans="1:13" x14ac:dyDescent="0.3">
      <c r="A1231" s="124" t="s">
        <v>756</v>
      </c>
      <c r="B1231" s="146" t="s">
        <v>773</v>
      </c>
      <c r="C1231" s="124" t="s">
        <v>1056</v>
      </c>
      <c r="D1231" s="124" t="s">
        <v>1054</v>
      </c>
      <c r="E1231" s="124">
        <v>20.157067955387284</v>
      </c>
      <c r="F1231" s="124">
        <v>13.074912016088486</v>
      </c>
      <c r="G1231" s="124">
        <v>82.142857142857139</v>
      </c>
      <c r="H1231" s="124">
        <v>82.142857142857139</v>
      </c>
      <c r="I1231" s="124">
        <v>61.985789187469855</v>
      </c>
      <c r="J1231" s="124">
        <v>95.217769158945629</v>
      </c>
      <c r="K1231" s="445">
        <f t="shared" si="45"/>
        <v>-17.857142857142861</v>
      </c>
      <c r="L1231" s="445">
        <f t="shared" si="46"/>
        <v>-38.014210812530145</v>
      </c>
      <c r="M1231" s="445">
        <f t="shared" si="47"/>
        <v>-4.7822308410543712</v>
      </c>
    </row>
    <row r="1232" spans="1:13" x14ac:dyDescent="0.3">
      <c r="A1232" s="124" t="s">
        <v>756</v>
      </c>
      <c r="B1232" s="146" t="s">
        <v>773</v>
      </c>
      <c r="C1232" s="124" t="s">
        <v>1057</v>
      </c>
      <c r="D1232" s="146" t="s">
        <v>1054</v>
      </c>
      <c r="E1232" s="124">
        <v>8.2464985994397768</v>
      </c>
      <c r="F1232" s="124">
        <v>2.0168067226890756</v>
      </c>
      <c r="G1232" s="124">
        <v>100</v>
      </c>
      <c r="H1232" s="124">
        <v>100</v>
      </c>
      <c r="I1232" s="124">
        <v>91.753501400560225</v>
      </c>
      <c r="J1232" s="124">
        <v>102.01680672268907</v>
      </c>
      <c r="K1232" s="445">
        <f t="shared" si="45"/>
        <v>0</v>
      </c>
      <c r="L1232" s="445">
        <f t="shared" si="46"/>
        <v>-8.246498599439775</v>
      </c>
      <c r="M1232" s="445">
        <f t="shared" si="47"/>
        <v>2.0168067226890685</v>
      </c>
    </row>
    <row r="1233" spans="1:13" x14ac:dyDescent="0.3">
      <c r="A1233" s="124" t="s">
        <v>756</v>
      </c>
      <c r="B1233" s="146" t="s">
        <v>773</v>
      </c>
      <c r="C1233" s="146" t="s">
        <v>1052</v>
      </c>
      <c r="D1233" s="146" t="s">
        <v>1055</v>
      </c>
      <c r="E1233" s="124">
        <v>28.260596546310833</v>
      </c>
      <c r="F1233" s="124">
        <v>21.870225013082155</v>
      </c>
      <c r="G1233" s="124">
        <v>71.428571428571431</v>
      </c>
      <c r="H1233" s="124">
        <v>71.428571428571431</v>
      </c>
      <c r="I1233" s="124">
        <v>43.167974882260594</v>
      </c>
      <c r="J1233" s="124">
        <v>93.298796441653593</v>
      </c>
      <c r="K1233" s="445">
        <f t="shared" si="45"/>
        <v>-28.571428571428569</v>
      </c>
      <c r="L1233" s="445">
        <f t="shared" si="46"/>
        <v>-56.832025117739406</v>
      </c>
      <c r="M1233" s="445">
        <f t="shared" si="47"/>
        <v>-6.7012035583464069</v>
      </c>
    </row>
    <row r="1234" spans="1:13" x14ac:dyDescent="0.3">
      <c r="A1234" s="124" t="s">
        <v>756</v>
      </c>
      <c r="B1234" s="146" t="s">
        <v>773</v>
      </c>
      <c r="C1234" s="146" t="s">
        <v>1056</v>
      </c>
      <c r="D1234" s="146" t="s">
        <v>1055</v>
      </c>
      <c r="E1234" s="146">
        <v>20.211838581586481</v>
      </c>
      <c r="F1234" s="146">
        <v>9.0627020038784742</v>
      </c>
      <c r="G1234" s="146">
        <v>94.285714285714292</v>
      </c>
      <c r="H1234" s="146">
        <v>94.285714285714292</v>
      </c>
      <c r="I1234" s="146">
        <v>74.073875704127815</v>
      </c>
      <c r="J1234" s="146">
        <v>103.34841628959276</v>
      </c>
      <c r="K1234" s="445">
        <f t="shared" si="45"/>
        <v>-5.7142857142857082</v>
      </c>
      <c r="L1234" s="445">
        <f t="shared" si="46"/>
        <v>-25.926124295872185</v>
      </c>
      <c r="M1234" s="445">
        <f t="shared" si="47"/>
        <v>3.3484162895927625</v>
      </c>
    </row>
    <row r="1235" spans="1:13" x14ac:dyDescent="0.3">
      <c r="A1235" s="124" t="s">
        <v>756</v>
      </c>
      <c r="B1235" s="146" t="s">
        <v>773</v>
      </c>
      <c r="C1235" s="146" t="s">
        <v>1057</v>
      </c>
      <c r="D1235" s="146" t="s">
        <v>1055</v>
      </c>
      <c r="E1235" s="146">
        <v>9.9095022624434392</v>
      </c>
      <c r="F1235" s="124">
        <v>7.4789915966386555</v>
      </c>
      <c r="G1235" s="124">
        <v>97.142857142857139</v>
      </c>
      <c r="H1235" s="124">
        <v>97.142857142857139</v>
      </c>
      <c r="I1235" s="124">
        <v>87.2333548804137</v>
      </c>
      <c r="J1235" s="124">
        <v>104.62184873949579</v>
      </c>
      <c r="K1235" s="445">
        <f t="shared" si="45"/>
        <v>-2.8571428571428612</v>
      </c>
      <c r="L1235" s="445">
        <f t="shared" si="46"/>
        <v>-12.7666451195863</v>
      </c>
      <c r="M1235" s="445">
        <f t="shared" si="47"/>
        <v>4.621848739495789</v>
      </c>
    </row>
    <row r="1236" spans="1:13" x14ac:dyDescent="0.3">
      <c r="A1236" s="124" t="s">
        <v>756</v>
      </c>
      <c r="B1236" s="124" t="s">
        <v>793</v>
      </c>
      <c r="C1236" s="124" t="s">
        <v>1052</v>
      </c>
      <c r="D1236" s="124" t="s">
        <v>1053</v>
      </c>
      <c r="E1236" s="124">
        <v>39.756148613291472</v>
      </c>
      <c r="F1236" s="124">
        <v>31.252747252747252</v>
      </c>
      <c r="G1236" s="124">
        <v>62.857142857142854</v>
      </c>
      <c r="H1236" s="124">
        <v>62.857142857142854</v>
      </c>
      <c r="I1236" s="124">
        <v>23.100994243851382</v>
      </c>
      <c r="J1236" s="124">
        <v>94.109890109890102</v>
      </c>
      <c r="K1236" s="445">
        <f t="shared" si="45"/>
        <v>-37.142857142857146</v>
      </c>
      <c r="L1236" s="445">
        <f t="shared" si="46"/>
        <v>-76.899005756148625</v>
      </c>
      <c r="M1236" s="445">
        <f t="shared" si="47"/>
        <v>-5.8901098901098976</v>
      </c>
    </row>
    <row r="1237" spans="1:13" x14ac:dyDescent="0.3">
      <c r="A1237" s="124" t="s">
        <v>756</v>
      </c>
      <c r="B1237" s="146" t="s">
        <v>793</v>
      </c>
      <c r="C1237" s="124" t="s">
        <v>1056</v>
      </c>
      <c r="D1237" s="146" t="s">
        <v>1053</v>
      </c>
      <c r="E1237" s="124">
        <v>30.577030812324928</v>
      </c>
      <c r="F1237" s="124">
        <v>13.053221288515406</v>
      </c>
      <c r="G1237" s="124">
        <v>83.571428571428569</v>
      </c>
      <c r="H1237" s="124">
        <v>83.571428571428569</v>
      </c>
      <c r="I1237" s="124">
        <v>52.994397759103641</v>
      </c>
      <c r="J1237" s="124">
        <v>96.624649859943972</v>
      </c>
      <c r="K1237" s="445">
        <f t="shared" si="45"/>
        <v>-16.428571428571431</v>
      </c>
      <c r="L1237" s="445">
        <f t="shared" si="46"/>
        <v>-47.005602240896359</v>
      </c>
      <c r="M1237" s="445">
        <f t="shared" si="47"/>
        <v>-3.3753501400560282</v>
      </c>
    </row>
    <row r="1238" spans="1:13" x14ac:dyDescent="0.3">
      <c r="A1238" s="124" t="s">
        <v>756</v>
      </c>
      <c r="B1238" s="146" t="s">
        <v>793</v>
      </c>
      <c r="C1238" s="146" t="s">
        <v>1057</v>
      </c>
      <c r="D1238" s="146" t="s">
        <v>1053</v>
      </c>
      <c r="E1238" s="124">
        <v>0</v>
      </c>
      <c r="F1238" s="124">
        <v>0</v>
      </c>
      <c r="G1238" s="124">
        <v>100</v>
      </c>
      <c r="H1238" s="124">
        <v>100</v>
      </c>
      <c r="I1238" s="124">
        <v>100</v>
      </c>
      <c r="J1238" s="124">
        <v>100</v>
      </c>
      <c r="K1238" s="445">
        <f t="shared" si="45"/>
        <v>0</v>
      </c>
      <c r="L1238" s="445">
        <f t="shared" si="46"/>
        <v>0</v>
      </c>
      <c r="M1238" s="445">
        <f t="shared" si="47"/>
        <v>0</v>
      </c>
    </row>
    <row r="1239" spans="1:13" x14ac:dyDescent="0.3">
      <c r="A1239" s="124" t="s">
        <v>756</v>
      </c>
      <c r="B1239" s="146" t="s">
        <v>793</v>
      </c>
      <c r="C1239" s="146" t="s">
        <v>1052</v>
      </c>
      <c r="D1239" s="146" t="s">
        <v>1054</v>
      </c>
      <c r="E1239" s="146">
        <v>40.399441828013259</v>
      </c>
      <c r="F1239" s="146">
        <v>25.197627769056343</v>
      </c>
      <c r="G1239" s="146">
        <v>67.142857142857139</v>
      </c>
      <c r="H1239" s="146">
        <v>67.142857142857139</v>
      </c>
      <c r="I1239" s="146">
        <v>26.74341531484388</v>
      </c>
      <c r="J1239" s="146">
        <v>92.340484911913478</v>
      </c>
      <c r="K1239" s="445">
        <f t="shared" si="45"/>
        <v>-32.857142857142861</v>
      </c>
      <c r="L1239" s="445">
        <f t="shared" si="46"/>
        <v>-73.256584685156128</v>
      </c>
      <c r="M1239" s="445">
        <f t="shared" si="47"/>
        <v>-7.6595150880865219</v>
      </c>
    </row>
    <row r="1240" spans="1:13" x14ac:dyDescent="0.3">
      <c r="A1240" s="124" t="s">
        <v>756</v>
      </c>
      <c r="B1240" s="146" t="s">
        <v>793</v>
      </c>
      <c r="C1240" s="124" t="s">
        <v>1056</v>
      </c>
      <c r="D1240" s="124" t="s">
        <v>1054</v>
      </c>
      <c r="E1240" s="124">
        <v>30.544217687074827</v>
      </c>
      <c r="F1240" s="124">
        <v>16.807256235827662</v>
      </c>
      <c r="G1240" s="124">
        <v>81.428571428571431</v>
      </c>
      <c r="H1240" s="124">
        <v>81.428571428571431</v>
      </c>
      <c r="I1240" s="124">
        <v>50.884353741496604</v>
      </c>
      <c r="J1240" s="124">
        <v>98.235827664399096</v>
      </c>
      <c r="K1240" s="445">
        <f t="shared" si="45"/>
        <v>-18.571428571428569</v>
      </c>
      <c r="L1240" s="445">
        <f t="shared" si="46"/>
        <v>-49.115646258503396</v>
      </c>
      <c r="M1240" s="445">
        <f t="shared" si="47"/>
        <v>-1.7641723356009038</v>
      </c>
    </row>
    <row r="1241" spans="1:13" x14ac:dyDescent="0.3">
      <c r="A1241" s="124" t="s">
        <v>756</v>
      </c>
      <c r="B1241" s="146" t="s">
        <v>793</v>
      </c>
      <c r="C1241" s="124" t="s">
        <v>1057</v>
      </c>
      <c r="D1241" s="146" t="s">
        <v>1054</v>
      </c>
      <c r="E1241" s="124">
        <v>12.428891556622649</v>
      </c>
      <c r="F1241" s="124">
        <v>3.7508870214752568</v>
      </c>
      <c r="G1241" s="124">
        <v>98.571428571428569</v>
      </c>
      <c r="H1241" s="124">
        <v>98.571428571428569</v>
      </c>
      <c r="I1241" s="124">
        <v>86.142537014805924</v>
      </c>
      <c r="J1241" s="124">
        <v>102.32231559290382</v>
      </c>
      <c r="K1241" s="445">
        <f t="shared" si="45"/>
        <v>-1.4285714285714306</v>
      </c>
      <c r="L1241" s="445">
        <f t="shared" si="46"/>
        <v>-13.857462985194076</v>
      </c>
      <c r="M1241" s="445">
        <f t="shared" si="47"/>
        <v>2.3223155929038199</v>
      </c>
    </row>
    <row r="1242" spans="1:13" x14ac:dyDescent="0.3">
      <c r="A1242" s="124" t="s">
        <v>756</v>
      </c>
      <c r="B1242" s="146" t="s">
        <v>793</v>
      </c>
      <c r="C1242" s="146" t="s">
        <v>1052</v>
      </c>
      <c r="D1242" s="146" t="s">
        <v>1055</v>
      </c>
      <c r="E1242" s="124">
        <v>38.15951967831667</v>
      </c>
      <c r="F1242" s="124">
        <v>21.218595940400451</v>
      </c>
      <c r="G1242" s="124">
        <v>72.857142857142861</v>
      </c>
      <c r="H1242" s="124">
        <v>72.857142857142861</v>
      </c>
      <c r="I1242" s="124">
        <v>34.697623178826191</v>
      </c>
      <c r="J1242" s="124">
        <v>94.075738797543309</v>
      </c>
      <c r="K1242" s="445">
        <f t="shared" si="45"/>
        <v>-27.142857142857139</v>
      </c>
      <c r="L1242" s="445">
        <f t="shared" si="46"/>
        <v>-65.302376821173809</v>
      </c>
      <c r="M1242" s="445">
        <f t="shared" si="47"/>
        <v>-5.924261202456691</v>
      </c>
    </row>
    <row r="1243" spans="1:13" x14ac:dyDescent="0.3">
      <c r="A1243" s="124" t="s">
        <v>756</v>
      </c>
      <c r="B1243" s="146" t="s">
        <v>793</v>
      </c>
      <c r="C1243" s="146" t="s">
        <v>1056</v>
      </c>
      <c r="D1243" s="124" t="s">
        <v>1055</v>
      </c>
      <c r="E1243" s="146">
        <v>29.916971916971914</v>
      </c>
      <c r="F1243" s="124">
        <v>12.246642246642249</v>
      </c>
      <c r="G1243" s="124">
        <v>85</v>
      </c>
      <c r="H1243" s="124">
        <v>85</v>
      </c>
      <c r="I1243" s="124">
        <v>55.083028083028083</v>
      </c>
      <c r="J1243" s="124">
        <v>97.246642246642253</v>
      </c>
      <c r="K1243" s="445">
        <f t="shared" si="45"/>
        <v>-15</v>
      </c>
      <c r="L1243" s="445">
        <f t="shared" si="46"/>
        <v>-44.916971916971917</v>
      </c>
      <c r="M1243" s="445">
        <f t="shared" si="47"/>
        <v>-2.7533577533577471</v>
      </c>
    </row>
    <row r="1244" spans="1:13" x14ac:dyDescent="0.3">
      <c r="A1244" s="124" t="s">
        <v>756</v>
      </c>
      <c r="B1244" s="146" t="s">
        <v>793</v>
      </c>
      <c r="C1244" s="146" t="s">
        <v>1057</v>
      </c>
      <c r="D1244" s="146" t="s">
        <v>1055</v>
      </c>
      <c r="E1244" s="146">
        <v>17.757020757020758</v>
      </c>
      <c r="F1244" s="124">
        <v>12.744810744810747</v>
      </c>
      <c r="G1244" s="124">
        <v>92.142857142857139</v>
      </c>
      <c r="H1244" s="124">
        <v>92.142857142857139</v>
      </c>
      <c r="I1244" s="124">
        <v>74.385836385836384</v>
      </c>
      <c r="J1244" s="124">
        <v>104.88766788766789</v>
      </c>
      <c r="K1244" s="445">
        <f t="shared" si="45"/>
        <v>-7.8571428571428612</v>
      </c>
      <c r="L1244" s="445">
        <f t="shared" si="46"/>
        <v>-25.614163614163616</v>
      </c>
      <c r="M1244" s="445">
        <f t="shared" si="47"/>
        <v>4.8876678876678881</v>
      </c>
    </row>
    <row r="1245" spans="1:13" x14ac:dyDescent="0.3">
      <c r="A1245" s="124" t="s">
        <v>756</v>
      </c>
      <c r="B1245" s="124" t="s">
        <v>764</v>
      </c>
      <c r="C1245" s="124" t="s">
        <v>1052</v>
      </c>
      <c r="D1245" s="124" t="s">
        <v>1053</v>
      </c>
      <c r="E1245" s="124">
        <v>37.125065410779698</v>
      </c>
      <c r="F1245" s="124">
        <v>25.702773417059131</v>
      </c>
      <c r="G1245" s="124">
        <v>47.142857142857146</v>
      </c>
      <c r="H1245" s="124">
        <v>47.142857142857146</v>
      </c>
      <c r="I1245" s="124">
        <v>10.017791732077448</v>
      </c>
      <c r="J1245" s="124">
        <v>72.845630559916273</v>
      </c>
      <c r="K1245" s="445">
        <f t="shared" si="45"/>
        <v>-52.857142857142854</v>
      </c>
      <c r="L1245" s="445">
        <f t="shared" si="46"/>
        <v>-89.982208267922545</v>
      </c>
      <c r="M1245" s="445">
        <f t="shared" si="47"/>
        <v>-27.154369440083727</v>
      </c>
    </row>
    <row r="1246" spans="1:13" x14ac:dyDescent="0.3">
      <c r="A1246" s="124" t="s">
        <v>756</v>
      </c>
      <c r="B1246" s="146" t="s">
        <v>764</v>
      </c>
      <c r="C1246" s="124" t="s">
        <v>1056</v>
      </c>
      <c r="D1246" s="146" t="s">
        <v>1053</v>
      </c>
      <c r="E1246" s="124">
        <v>30.998778998778999</v>
      </c>
      <c r="F1246" s="124">
        <v>17.896214896214897</v>
      </c>
      <c r="G1246" s="124">
        <v>77.857142857142861</v>
      </c>
      <c r="H1246" s="124">
        <v>77.857142857142861</v>
      </c>
      <c r="I1246" s="124">
        <v>46.858363858363859</v>
      </c>
      <c r="J1246" s="124">
        <v>95.753357753357761</v>
      </c>
      <c r="K1246" s="445">
        <f t="shared" si="45"/>
        <v>-22.142857142857139</v>
      </c>
      <c r="L1246" s="445">
        <f t="shared" si="46"/>
        <v>-53.141636141636141</v>
      </c>
      <c r="M1246" s="445">
        <f t="shared" si="47"/>
        <v>-4.2466422466422387</v>
      </c>
    </row>
    <row r="1247" spans="1:13" x14ac:dyDescent="0.3">
      <c r="A1247" s="124" t="s">
        <v>756</v>
      </c>
      <c r="B1247" s="146" t="s">
        <v>764</v>
      </c>
      <c r="C1247" s="146" t="s">
        <v>1057</v>
      </c>
      <c r="D1247" s="146" t="s">
        <v>1053</v>
      </c>
      <c r="E1247" s="124">
        <v>0</v>
      </c>
      <c r="F1247" s="124">
        <v>0</v>
      </c>
      <c r="G1247" s="124">
        <v>100</v>
      </c>
      <c r="H1247" s="124">
        <v>100</v>
      </c>
      <c r="I1247" s="124">
        <v>100</v>
      </c>
      <c r="J1247" s="124">
        <v>100</v>
      </c>
      <c r="K1247" s="445">
        <f t="shared" si="45"/>
        <v>0</v>
      </c>
      <c r="L1247" s="445">
        <f t="shared" si="46"/>
        <v>0</v>
      </c>
      <c r="M1247" s="445">
        <f t="shared" si="47"/>
        <v>0</v>
      </c>
    </row>
    <row r="1248" spans="1:13" x14ac:dyDescent="0.3">
      <c r="A1248" s="124" t="s">
        <v>756</v>
      </c>
      <c r="B1248" s="146" t="s">
        <v>764</v>
      </c>
      <c r="C1248" s="146" t="s">
        <v>1052</v>
      </c>
      <c r="D1248" s="146" t="s">
        <v>1054</v>
      </c>
      <c r="E1248" s="124">
        <v>42.988487702773412</v>
      </c>
      <c r="F1248" s="124">
        <v>27.515960230245948</v>
      </c>
      <c r="G1248" s="124">
        <v>53.571428571428569</v>
      </c>
      <c r="H1248" s="124">
        <v>53.571428571428569</v>
      </c>
      <c r="I1248" s="124">
        <v>10.582940868655157</v>
      </c>
      <c r="J1248" s="124">
        <v>81.087388801674521</v>
      </c>
      <c r="K1248" s="445">
        <f t="shared" si="45"/>
        <v>-46.428571428571431</v>
      </c>
      <c r="L1248" s="445">
        <f t="shared" si="46"/>
        <v>-89.417059131344843</v>
      </c>
      <c r="M1248" s="445">
        <f t="shared" si="47"/>
        <v>-18.912611198325479</v>
      </c>
    </row>
    <row r="1249" spans="1:13" x14ac:dyDescent="0.3">
      <c r="A1249" s="124" t="s">
        <v>756</v>
      </c>
      <c r="B1249" s="146" t="s">
        <v>764</v>
      </c>
      <c r="C1249" s="124" t="s">
        <v>1056</v>
      </c>
      <c r="D1249" s="124" t="s">
        <v>1054</v>
      </c>
      <c r="E1249" s="124">
        <v>31.5447409733124</v>
      </c>
      <c r="F1249" s="124">
        <v>15.933019361590791</v>
      </c>
      <c r="G1249" s="124">
        <v>81.428571428571431</v>
      </c>
      <c r="H1249" s="124">
        <v>81.428571428571431</v>
      </c>
      <c r="I1249" s="124">
        <v>49.88383045525903</v>
      </c>
      <c r="J1249" s="124">
        <v>97.361590790162225</v>
      </c>
      <c r="K1249" s="445">
        <f t="shared" si="45"/>
        <v>-18.571428571428569</v>
      </c>
      <c r="L1249" s="445">
        <f t="shared" si="46"/>
        <v>-50.11616954474097</v>
      </c>
      <c r="M1249" s="445">
        <f t="shared" si="47"/>
        <v>-2.6384092098377749</v>
      </c>
    </row>
    <row r="1250" spans="1:13" x14ac:dyDescent="0.3">
      <c r="A1250" s="124" t="s">
        <v>756</v>
      </c>
      <c r="B1250" s="146" t="s">
        <v>764</v>
      </c>
      <c r="C1250" s="124" t="s">
        <v>1057</v>
      </c>
      <c r="D1250" s="146" t="s">
        <v>1054</v>
      </c>
      <c r="E1250" s="124">
        <v>8.6080298786181135</v>
      </c>
      <c r="F1250" s="124">
        <v>4.5445378151260503</v>
      </c>
      <c r="G1250" s="124">
        <v>100</v>
      </c>
      <c r="H1250" s="124">
        <v>100</v>
      </c>
      <c r="I1250" s="124">
        <v>91.391970121381888</v>
      </c>
      <c r="J1250" s="124">
        <v>104.54453781512605</v>
      </c>
      <c r="K1250" s="445">
        <f t="shared" si="45"/>
        <v>0</v>
      </c>
      <c r="L1250" s="445">
        <f t="shared" si="46"/>
        <v>-8.6080298786181118</v>
      </c>
      <c r="M1250" s="445">
        <f t="shared" si="47"/>
        <v>4.5445378151260485</v>
      </c>
    </row>
    <row r="1251" spans="1:13" x14ac:dyDescent="0.3">
      <c r="A1251" s="124" t="s">
        <v>756</v>
      </c>
      <c r="B1251" s="146" t="s">
        <v>764</v>
      </c>
      <c r="C1251" s="146" t="s">
        <v>1052</v>
      </c>
      <c r="D1251" s="146" t="s">
        <v>1055</v>
      </c>
      <c r="E1251" s="124">
        <v>48.835164835164832</v>
      </c>
      <c r="F1251" s="124">
        <v>19.135531135531135</v>
      </c>
      <c r="G1251" s="124">
        <v>80</v>
      </c>
      <c r="H1251" s="124">
        <v>80</v>
      </c>
      <c r="I1251" s="124">
        <v>31.164835164835168</v>
      </c>
      <c r="J1251" s="124">
        <v>99.135531135531139</v>
      </c>
      <c r="K1251" s="445">
        <f t="shared" si="45"/>
        <v>-20</v>
      </c>
      <c r="L1251" s="445">
        <f t="shared" si="46"/>
        <v>-68.835164835164832</v>
      </c>
      <c r="M1251" s="445">
        <f t="shared" si="47"/>
        <v>-0.8644688644688614</v>
      </c>
    </row>
    <row r="1252" spans="1:13" x14ac:dyDescent="0.3">
      <c r="A1252" s="124" t="s">
        <v>756</v>
      </c>
      <c r="B1252" s="146" t="s">
        <v>764</v>
      </c>
      <c r="C1252" s="146" t="s">
        <v>1056</v>
      </c>
      <c r="D1252" s="124" t="s">
        <v>1055</v>
      </c>
      <c r="E1252" s="146">
        <v>30.191173905459618</v>
      </c>
      <c r="F1252" s="124">
        <v>11.640327926042213</v>
      </c>
      <c r="G1252" s="124">
        <v>92.857142857142861</v>
      </c>
      <c r="H1252" s="124">
        <v>92.857142857142861</v>
      </c>
      <c r="I1252" s="124">
        <v>62.66596895168324</v>
      </c>
      <c r="J1252" s="124">
        <v>104.49747078318508</v>
      </c>
      <c r="K1252" s="445">
        <f t="shared" si="45"/>
        <v>-7.1428571428571388</v>
      </c>
      <c r="L1252" s="445">
        <f t="shared" si="46"/>
        <v>-37.33403104831676</v>
      </c>
      <c r="M1252" s="445">
        <f t="shared" si="47"/>
        <v>4.4974707831850793</v>
      </c>
    </row>
    <row r="1253" spans="1:13" x14ac:dyDescent="0.3">
      <c r="A1253" s="124" t="s">
        <v>756</v>
      </c>
      <c r="B1253" s="146" t="s">
        <v>764</v>
      </c>
      <c r="C1253" s="146" t="s">
        <v>1057</v>
      </c>
      <c r="D1253" s="146" t="s">
        <v>1055</v>
      </c>
      <c r="E1253" s="146">
        <v>14.100122100122098</v>
      </c>
      <c r="F1253" s="146">
        <v>8.615384615384615</v>
      </c>
      <c r="G1253" s="146">
        <v>100</v>
      </c>
      <c r="H1253" s="146">
        <v>100</v>
      </c>
      <c r="I1253" s="146">
        <v>85.899877899877907</v>
      </c>
      <c r="J1253" s="146">
        <v>108.61538461538461</v>
      </c>
      <c r="K1253" s="445">
        <f t="shared" si="45"/>
        <v>0</v>
      </c>
      <c r="L1253" s="445">
        <f t="shared" si="46"/>
        <v>-14.100122100122093</v>
      </c>
      <c r="M1253" s="445">
        <f t="shared" si="47"/>
        <v>8.6153846153846132</v>
      </c>
    </row>
    <row r="1254" spans="1:13" x14ac:dyDescent="0.3">
      <c r="A1254" s="124" t="s">
        <v>756</v>
      </c>
      <c r="B1254" s="146" t="s">
        <v>803</v>
      </c>
      <c r="C1254" s="146" t="s">
        <v>1052</v>
      </c>
      <c r="D1254" s="146" t="s">
        <v>1053</v>
      </c>
      <c r="E1254" s="146">
        <v>18.648177219605792</v>
      </c>
      <c r="F1254" s="146">
        <v>27.889412175126459</v>
      </c>
      <c r="G1254" s="146">
        <v>42.142857142857146</v>
      </c>
      <c r="H1254" s="146">
        <v>42.142857142857146</v>
      </c>
      <c r="I1254" s="146">
        <v>23.494679923251354</v>
      </c>
      <c r="J1254" s="146">
        <v>70.032269317983605</v>
      </c>
      <c r="K1254" s="445">
        <f t="shared" si="45"/>
        <v>-57.857142857142854</v>
      </c>
      <c r="L1254" s="445">
        <f t="shared" si="46"/>
        <v>-76.505320076748646</v>
      </c>
      <c r="M1254" s="445">
        <f t="shared" si="47"/>
        <v>-29.967730682016395</v>
      </c>
    </row>
    <row r="1255" spans="1:13" x14ac:dyDescent="0.3">
      <c r="A1255" s="124" t="s">
        <v>756</v>
      </c>
      <c r="B1255" s="146" t="s">
        <v>803</v>
      </c>
      <c r="C1255" s="146" t="s">
        <v>1056</v>
      </c>
      <c r="D1255" s="146" t="s">
        <v>1053</v>
      </c>
      <c r="E1255" s="146">
        <v>25.239316239316242</v>
      </c>
      <c r="F1255" s="146">
        <v>12.04029304029304</v>
      </c>
      <c r="G1255" s="146">
        <v>79.285714285714292</v>
      </c>
      <c r="H1255" s="146">
        <v>79.285714285714292</v>
      </c>
      <c r="I1255" s="146">
        <v>54.046398046398053</v>
      </c>
      <c r="J1255" s="146">
        <v>91.326007326007328</v>
      </c>
      <c r="K1255" s="445">
        <f t="shared" si="45"/>
        <v>-20.714285714285708</v>
      </c>
      <c r="L1255" s="445">
        <f t="shared" si="46"/>
        <v>-45.953601953601947</v>
      </c>
      <c r="M1255" s="445">
        <f t="shared" si="47"/>
        <v>-8.6739926739926716</v>
      </c>
    </row>
    <row r="1256" spans="1:13" x14ac:dyDescent="0.3">
      <c r="A1256" s="124" t="s">
        <v>756</v>
      </c>
      <c r="B1256" s="146" t="s">
        <v>803</v>
      </c>
      <c r="C1256" s="146" t="s">
        <v>1057</v>
      </c>
      <c r="D1256" s="146" t="s">
        <v>1053</v>
      </c>
      <c r="E1256" s="146">
        <v>0</v>
      </c>
      <c r="F1256" s="146">
        <v>0</v>
      </c>
      <c r="G1256" s="146">
        <v>100</v>
      </c>
      <c r="H1256" s="146">
        <v>100</v>
      </c>
      <c r="I1256" s="146">
        <v>100</v>
      </c>
      <c r="J1256" s="146">
        <v>100</v>
      </c>
      <c r="K1256" s="445">
        <f t="shared" si="45"/>
        <v>0</v>
      </c>
      <c r="L1256" s="445">
        <f t="shared" si="46"/>
        <v>0</v>
      </c>
      <c r="M1256" s="445">
        <f t="shared" si="47"/>
        <v>0</v>
      </c>
    </row>
    <row r="1257" spans="1:13" x14ac:dyDescent="0.3">
      <c r="A1257" s="124" t="s">
        <v>756</v>
      </c>
      <c r="B1257" s="146" t="s">
        <v>803</v>
      </c>
      <c r="C1257" s="146" t="s">
        <v>1052</v>
      </c>
      <c r="D1257" s="146" t="s">
        <v>1054</v>
      </c>
      <c r="E1257" s="146">
        <v>18.744113029827314</v>
      </c>
      <c r="F1257" s="146">
        <v>34.510727367870224</v>
      </c>
      <c r="G1257" s="146">
        <v>38.571428571428569</v>
      </c>
      <c r="H1257" s="146">
        <v>38.571428571428569</v>
      </c>
      <c r="I1257" s="146">
        <v>19.827315541601255</v>
      </c>
      <c r="J1257" s="146">
        <v>73.082155939298787</v>
      </c>
      <c r="K1257" s="445">
        <f t="shared" si="45"/>
        <v>-61.428571428571431</v>
      </c>
      <c r="L1257" s="445">
        <f t="shared" si="46"/>
        <v>-80.172684458398749</v>
      </c>
      <c r="M1257" s="445">
        <f t="shared" si="47"/>
        <v>-26.917844060701213</v>
      </c>
    </row>
    <row r="1258" spans="1:13" x14ac:dyDescent="0.3">
      <c r="A1258" s="124" t="s">
        <v>756</v>
      </c>
      <c r="B1258" s="146" t="s">
        <v>803</v>
      </c>
      <c r="C1258" s="124" t="s">
        <v>1056</v>
      </c>
      <c r="D1258" s="124" t="s">
        <v>1054</v>
      </c>
      <c r="E1258" s="124">
        <v>24.073260073260069</v>
      </c>
      <c r="F1258" s="124">
        <v>16.365253793825222</v>
      </c>
      <c r="G1258" s="124">
        <v>75</v>
      </c>
      <c r="H1258" s="124">
        <v>75</v>
      </c>
      <c r="I1258" s="124">
        <v>50.926739926739927</v>
      </c>
      <c r="J1258" s="124">
        <v>91.365253793825218</v>
      </c>
      <c r="K1258" s="445">
        <f t="shared" si="45"/>
        <v>-25</v>
      </c>
      <c r="L1258" s="445">
        <f t="shared" si="46"/>
        <v>-49.073260073260073</v>
      </c>
      <c r="M1258" s="445">
        <f t="shared" si="47"/>
        <v>-8.6347462061747819</v>
      </c>
    </row>
    <row r="1259" spans="1:13" x14ac:dyDescent="0.3">
      <c r="A1259" s="124" t="s">
        <v>756</v>
      </c>
      <c r="B1259" s="146" t="s">
        <v>803</v>
      </c>
      <c r="C1259" s="124" t="s">
        <v>1057</v>
      </c>
      <c r="D1259" s="146" t="s">
        <v>1054</v>
      </c>
      <c r="E1259" s="124">
        <v>7.7254901960784315</v>
      </c>
      <c r="F1259" s="124">
        <v>4.5200480192076835</v>
      </c>
      <c r="G1259" s="124">
        <v>97.142857142857139</v>
      </c>
      <c r="H1259" s="124">
        <v>97.142857142857139</v>
      </c>
      <c r="I1259" s="124">
        <v>89.417366946778714</v>
      </c>
      <c r="J1259" s="124">
        <v>101.66290516206482</v>
      </c>
      <c r="K1259" s="445">
        <f t="shared" si="45"/>
        <v>-2.8571428571428612</v>
      </c>
      <c r="L1259" s="445">
        <f t="shared" si="46"/>
        <v>-10.582633053221286</v>
      </c>
      <c r="M1259" s="445">
        <f t="shared" si="47"/>
        <v>1.662905162064817</v>
      </c>
    </row>
    <row r="1260" spans="1:13" x14ac:dyDescent="0.3">
      <c r="A1260" s="124" t="s">
        <v>756</v>
      </c>
      <c r="B1260" s="146" t="s">
        <v>803</v>
      </c>
      <c r="C1260" s="146" t="s">
        <v>1052</v>
      </c>
      <c r="D1260" s="146" t="s">
        <v>1055</v>
      </c>
      <c r="E1260" s="124">
        <v>21.682365253793826</v>
      </c>
      <c r="F1260" s="124">
        <v>31.954474097331236</v>
      </c>
      <c r="G1260" s="124">
        <v>55.714285714285715</v>
      </c>
      <c r="H1260" s="124">
        <v>55.714285714285715</v>
      </c>
      <c r="I1260" s="124">
        <v>34.031920460491889</v>
      </c>
      <c r="J1260" s="124">
        <v>87.668759811616951</v>
      </c>
      <c r="K1260" s="445">
        <f t="shared" si="45"/>
        <v>-44.285714285714285</v>
      </c>
      <c r="L1260" s="445">
        <f t="shared" si="46"/>
        <v>-65.968079539508111</v>
      </c>
      <c r="M1260" s="445">
        <f t="shared" si="47"/>
        <v>-12.331240188383049</v>
      </c>
    </row>
    <row r="1261" spans="1:13" x14ac:dyDescent="0.3">
      <c r="A1261" s="124" t="s">
        <v>756</v>
      </c>
      <c r="B1261" s="146" t="s">
        <v>803</v>
      </c>
      <c r="C1261" s="124" t="s">
        <v>1056</v>
      </c>
      <c r="D1261" s="124" t="s">
        <v>1055</v>
      </c>
      <c r="E1261" s="124">
        <v>17.446363160648875</v>
      </c>
      <c r="F1261" s="124">
        <v>17.592883307169021</v>
      </c>
      <c r="G1261" s="124">
        <v>77.142857142857139</v>
      </c>
      <c r="H1261" s="124">
        <v>77.142857142857139</v>
      </c>
      <c r="I1261" s="124">
        <v>59.696493982208267</v>
      </c>
      <c r="J1261" s="124">
        <v>94.735740450026157</v>
      </c>
      <c r="K1261" s="445">
        <f t="shared" si="45"/>
        <v>-22.857142857142861</v>
      </c>
      <c r="L1261" s="445">
        <f t="shared" si="46"/>
        <v>-40.303506017791733</v>
      </c>
      <c r="M1261" s="445">
        <f t="shared" si="47"/>
        <v>-5.2642595499738434</v>
      </c>
    </row>
    <row r="1262" spans="1:13" x14ac:dyDescent="0.3">
      <c r="A1262" s="124" t="s">
        <v>756</v>
      </c>
      <c r="B1262" s="146" t="s">
        <v>803</v>
      </c>
      <c r="C1262" s="146" t="s">
        <v>1057</v>
      </c>
      <c r="D1262" s="146" t="s">
        <v>1055</v>
      </c>
      <c r="E1262" s="146">
        <v>19.658817373103087</v>
      </c>
      <c r="F1262" s="124">
        <v>13.430245944531659</v>
      </c>
      <c r="G1262" s="124">
        <v>87.857142857142861</v>
      </c>
      <c r="H1262" s="124">
        <v>87.857142857142861</v>
      </c>
      <c r="I1262" s="124">
        <v>68.198325484039771</v>
      </c>
      <c r="J1262" s="124">
        <v>101.28738880167452</v>
      </c>
      <c r="K1262" s="445">
        <f t="shared" si="45"/>
        <v>-12.142857142857139</v>
      </c>
      <c r="L1262" s="445">
        <f t="shared" si="46"/>
        <v>-31.801674515960229</v>
      </c>
      <c r="M1262" s="445">
        <f t="shared" si="47"/>
        <v>1.2873888016745241</v>
      </c>
    </row>
    <row r="1263" spans="1:13" x14ac:dyDescent="0.3">
      <c r="A1263" s="124" t="s">
        <v>756</v>
      </c>
      <c r="B1263" s="146" t="s">
        <v>1068</v>
      </c>
      <c r="C1263" s="146" t="s">
        <v>1052</v>
      </c>
      <c r="D1263" s="146" t="s">
        <v>1053</v>
      </c>
      <c r="E1263" s="124">
        <v>30.522362791270353</v>
      </c>
      <c r="F1263" s="124">
        <v>15.038630836950166</v>
      </c>
      <c r="G1263" s="124">
        <v>66.428571428571431</v>
      </c>
      <c r="H1263" s="124">
        <v>66.428571428571431</v>
      </c>
      <c r="I1263" s="124">
        <v>35.906208637301077</v>
      </c>
      <c r="J1263" s="124">
        <v>81.467202265521593</v>
      </c>
      <c r="K1263" s="445">
        <f t="shared" si="45"/>
        <v>-33.571428571428569</v>
      </c>
      <c r="L1263" s="445">
        <f t="shared" si="46"/>
        <v>-64.093791362698923</v>
      </c>
      <c r="M1263" s="445">
        <f t="shared" si="47"/>
        <v>-18.532797734478407</v>
      </c>
    </row>
    <row r="1264" spans="1:13" x14ac:dyDescent="0.3">
      <c r="A1264" s="124" t="s">
        <v>756</v>
      </c>
      <c r="B1264" s="146" t="s">
        <v>1068</v>
      </c>
      <c r="C1264" s="124" t="s">
        <v>1056</v>
      </c>
      <c r="D1264" s="124" t="s">
        <v>1053</v>
      </c>
      <c r="E1264" s="124">
        <v>18.379762161274765</v>
      </c>
      <c r="F1264" s="124">
        <v>9.4293101856127066</v>
      </c>
      <c r="G1264" s="124">
        <v>87.142857142857139</v>
      </c>
      <c r="H1264" s="124">
        <v>87.142857142857139</v>
      </c>
      <c r="I1264" s="124">
        <v>68.76309498158237</v>
      </c>
      <c r="J1264" s="124">
        <v>96.572167328469845</v>
      </c>
      <c r="K1264" s="445">
        <f t="shared" si="45"/>
        <v>-12.857142857142861</v>
      </c>
      <c r="L1264" s="445">
        <f t="shared" si="46"/>
        <v>-31.23690501841763</v>
      </c>
      <c r="M1264" s="445">
        <f t="shared" si="47"/>
        <v>-3.4278326715301546</v>
      </c>
    </row>
    <row r="1265" spans="1:13" x14ac:dyDescent="0.3">
      <c r="A1265" s="124" t="s">
        <v>756</v>
      </c>
      <c r="B1265" s="146" t="s">
        <v>1068</v>
      </c>
      <c r="C1265" s="146" t="s">
        <v>1057</v>
      </c>
      <c r="D1265" s="146" t="s">
        <v>1053</v>
      </c>
      <c r="E1265" s="146">
        <v>0</v>
      </c>
      <c r="F1265" s="146">
        <v>0</v>
      </c>
      <c r="G1265" s="146">
        <v>100</v>
      </c>
      <c r="H1265" s="146">
        <v>100</v>
      </c>
      <c r="I1265" s="146">
        <v>100</v>
      </c>
      <c r="J1265" s="146">
        <v>100</v>
      </c>
      <c r="K1265" s="445">
        <f t="shared" si="45"/>
        <v>0</v>
      </c>
      <c r="L1265" s="445">
        <f t="shared" si="46"/>
        <v>0</v>
      </c>
      <c r="M1265" s="445">
        <f t="shared" si="47"/>
        <v>0</v>
      </c>
    </row>
    <row r="1266" spans="1:13" x14ac:dyDescent="0.3">
      <c r="A1266" s="124" t="s">
        <v>756</v>
      </c>
      <c r="B1266" s="146" t="s">
        <v>1068</v>
      </c>
      <c r="C1266" s="146" t="s">
        <v>1052</v>
      </c>
      <c r="D1266" s="146" t="s">
        <v>1054</v>
      </c>
      <c r="E1266" s="124">
        <v>41.172161172161175</v>
      </c>
      <c r="F1266" s="124">
        <v>16.856096284667714</v>
      </c>
      <c r="G1266" s="124">
        <v>70.857142857142861</v>
      </c>
      <c r="H1266" s="124">
        <v>70.857142857142861</v>
      </c>
      <c r="I1266" s="124">
        <v>29.684981684981686</v>
      </c>
      <c r="J1266" s="124">
        <v>87.713239141810575</v>
      </c>
      <c r="K1266" s="445">
        <f t="shared" si="45"/>
        <v>-29.142857142857139</v>
      </c>
      <c r="L1266" s="445">
        <f t="shared" si="46"/>
        <v>-70.315018315018307</v>
      </c>
      <c r="M1266" s="445">
        <f t="shared" si="47"/>
        <v>-12.286760858189425</v>
      </c>
    </row>
    <row r="1267" spans="1:13" x14ac:dyDescent="0.3">
      <c r="A1267" s="124" t="s">
        <v>756</v>
      </c>
      <c r="B1267" s="146" t="s">
        <v>1068</v>
      </c>
      <c r="C1267" s="124" t="s">
        <v>1056</v>
      </c>
      <c r="D1267" s="124" t="s">
        <v>1054</v>
      </c>
      <c r="E1267" s="124">
        <v>29.412175126460841</v>
      </c>
      <c r="F1267" s="124">
        <v>7.1051805337519625</v>
      </c>
      <c r="G1267" s="124">
        <v>86.428571428571431</v>
      </c>
      <c r="H1267" s="124">
        <v>86.428571428571431</v>
      </c>
      <c r="I1267" s="124">
        <v>57.016396302110593</v>
      </c>
      <c r="J1267" s="124">
        <v>93.533751962323393</v>
      </c>
      <c r="K1267" s="445">
        <f t="shared" si="45"/>
        <v>-13.571428571428569</v>
      </c>
      <c r="L1267" s="445">
        <f t="shared" si="46"/>
        <v>-42.983603697889407</v>
      </c>
      <c r="M1267" s="445">
        <f t="shared" si="47"/>
        <v>-6.4662480376766069</v>
      </c>
    </row>
    <row r="1268" spans="1:13" x14ac:dyDescent="0.3">
      <c r="A1268" s="124" t="s">
        <v>756</v>
      </c>
      <c r="B1268" s="146" t="s">
        <v>1068</v>
      </c>
      <c r="C1268" s="124" t="s">
        <v>1057</v>
      </c>
      <c r="D1268" s="146" t="s">
        <v>1054</v>
      </c>
      <c r="E1268" s="124">
        <v>11.591036414565826</v>
      </c>
      <c r="F1268" s="124">
        <v>1.9159663865546219</v>
      </c>
      <c r="G1268" s="124">
        <v>100</v>
      </c>
      <c r="H1268" s="124">
        <v>100</v>
      </c>
      <c r="I1268" s="124">
        <v>88.408963585434179</v>
      </c>
      <c r="J1268" s="124">
        <v>101.91596638655462</v>
      </c>
      <c r="K1268" s="445">
        <f t="shared" si="45"/>
        <v>0</v>
      </c>
      <c r="L1268" s="445">
        <f t="shared" si="46"/>
        <v>-11.591036414565821</v>
      </c>
      <c r="M1268" s="445">
        <f t="shared" si="47"/>
        <v>1.915966386554615</v>
      </c>
    </row>
    <row r="1269" spans="1:13" x14ac:dyDescent="0.3">
      <c r="A1269" s="124" t="s">
        <v>756</v>
      </c>
      <c r="B1269" s="146" t="s">
        <v>1068</v>
      </c>
      <c r="C1269" s="146" t="s">
        <v>1052</v>
      </c>
      <c r="D1269" s="146" t="s">
        <v>1055</v>
      </c>
      <c r="E1269" s="124">
        <v>43.897435897435898</v>
      </c>
      <c r="F1269" s="124">
        <v>17.611721611721613</v>
      </c>
      <c r="G1269" s="124">
        <v>74.571428571428569</v>
      </c>
      <c r="H1269" s="124">
        <v>74.571428571428569</v>
      </c>
      <c r="I1269" s="124">
        <v>30.673992673992672</v>
      </c>
      <c r="J1269" s="124">
        <v>92.18315018315019</v>
      </c>
      <c r="K1269" s="445">
        <f t="shared" si="45"/>
        <v>-25.428571428571431</v>
      </c>
      <c r="L1269" s="445">
        <f t="shared" si="46"/>
        <v>-69.326007326007328</v>
      </c>
      <c r="M1269" s="445">
        <f t="shared" si="47"/>
        <v>-7.8168498168498104</v>
      </c>
    </row>
    <row r="1270" spans="1:13" x14ac:dyDescent="0.3">
      <c r="A1270" s="124" t="s">
        <v>756</v>
      </c>
      <c r="B1270" s="146" t="s">
        <v>1068</v>
      </c>
      <c r="C1270" s="146" t="s">
        <v>1056</v>
      </c>
      <c r="D1270" s="146" t="s">
        <v>1055</v>
      </c>
      <c r="E1270" s="146">
        <v>27.032967032967036</v>
      </c>
      <c r="F1270" s="146">
        <v>15.084249084249084</v>
      </c>
      <c r="G1270" s="146">
        <v>90</v>
      </c>
      <c r="H1270" s="146">
        <v>90</v>
      </c>
      <c r="I1270" s="146">
        <v>62.967032967032964</v>
      </c>
      <c r="J1270" s="146">
        <v>105.08424908424908</v>
      </c>
      <c r="K1270" s="445">
        <f t="shared" si="45"/>
        <v>-10</v>
      </c>
      <c r="L1270" s="445">
        <f t="shared" si="46"/>
        <v>-37.032967032967036</v>
      </c>
      <c r="M1270" s="445">
        <f t="shared" si="47"/>
        <v>5.0842490842490804</v>
      </c>
    </row>
    <row r="1271" spans="1:13" x14ac:dyDescent="0.3">
      <c r="A1271" s="124" t="s">
        <v>756</v>
      </c>
      <c r="B1271" s="146" t="s">
        <v>1068</v>
      </c>
      <c r="C1271" s="146" t="s">
        <v>1057</v>
      </c>
      <c r="D1271" s="146" t="s">
        <v>1055</v>
      </c>
      <c r="E1271" s="146">
        <v>13.01874595992243</v>
      </c>
      <c r="F1271" s="124">
        <v>6.8795518207282909</v>
      </c>
      <c r="G1271" s="124">
        <v>97.142857142857139</v>
      </c>
      <c r="H1271" s="124">
        <v>97.142857142857139</v>
      </c>
      <c r="I1271" s="124">
        <v>84.124111182934712</v>
      </c>
      <c r="J1271" s="124">
        <v>104.02240896358543</v>
      </c>
      <c r="K1271" s="445">
        <f t="shared" si="45"/>
        <v>-2.8571428571428612</v>
      </c>
      <c r="L1271" s="445">
        <f t="shared" si="46"/>
        <v>-15.875888817065288</v>
      </c>
      <c r="M1271" s="445">
        <f t="shared" si="47"/>
        <v>4.0224089635854341</v>
      </c>
    </row>
    <row r="1272" spans="1:13" x14ac:dyDescent="0.3">
      <c r="A1272" s="124" t="s">
        <v>756</v>
      </c>
      <c r="B1272" s="146" t="s">
        <v>1069</v>
      </c>
      <c r="C1272" s="146" t="s">
        <v>1052</v>
      </c>
      <c r="D1272" s="146" t="s">
        <v>1053</v>
      </c>
      <c r="E1272" s="124">
        <v>16.843014128728417</v>
      </c>
      <c r="F1272" s="124">
        <v>38.491365777080055</v>
      </c>
      <c r="G1272" s="124">
        <v>34.285714285714285</v>
      </c>
      <c r="H1272" s="124">
        <v>34.285714285714285</v>
      </c>
      <c r="I1272" s="124">
        <v>17.442700156985868</v>
      </c>
      <c r="J1272" s="124">
        <v>72.77708006279434</v>
      </c>
      <c r="K1272" s="445">
        <f t="shared" si="45"/>
        <v>-65.714285714285722</v>
      </c>
      <c r="L1272" s="445">
        <f t="shared" si="46"/>
        <v>-82.557299843014135</v>
      </c>
      <c r="M1272" s="445">
        <f t="shared" si="47"/>
        <v>-27.22291993720566</v>
      </c>
    </row>
    <row r="1273" spans="1:13" x14ac:dyDescent="0.3">
      <c r="A1273" s="124" t="s">
        <v>756</v>
      </c>
      <c r="B1273" s="146" t="s">
        <v>1069</v>
      </c>
      <c r="C1273" s="124" t="s">
        <v>1056</v>
      </c>
      <c r="D1273" s="124" t="s">
        <v>1053</v>
      </c>
      <c r="E1273" s="124">
        <v>29.340659340659339</v>
      </c>
      <c r="F1273" s="124">
        <v>13.824175824175825</v>
      </c>
      <c r="G1273" s="124">
        <v>75</v>
      </c>
      <c r="H1273" s="124">
        <v>75</v>
      </c>
      <c r="I1273" s="124">
        <v>45.659340659340657</v>
      </c>
      <c r="J1273" s="124">
        <v>88.824175824175825</v>
      </c>
      <c r="K1273" s="445">
        <f t="shared" si="45"/>
        <v>-25</v>
      </c>
      <c r="L1273" s="445">
        <f t="shared" si="46"/>
        <v>-54.340659340659343</v>
      </c>
      <c r="M1273" s="445">
        <f t="shared" si="47"/>
        <v>-11.175824175824175</v>
      </c>
    </row>
    <row r="1274" spans="1:13" x14ac:dyDescent="0.3">
      <c r="A1274" s="124" t="s">
        <v>756</v>
      </c>
      <c r="B1274" s="146" t="s">
        <v>1069</v>
      </c>
      <c r="C1274" s="146" t="s">
        <v>1057</v>
      </c>
      <c r="D1274" s="146" t="s">
        <v>1053</v>
      </c>
      <c r="E1274" s="124">
        <v>0</v>
      </c>
      <c r="F1274" s="124">
        <v>0</v>
      </c>
      <c r="G1274" s="124">
        <v>100</v>
      </c>
      <c r="H1274" s="124">
        <v>100</v>
      </c>
      <c r="I1274" s="124">
        <v>100</v>
      </c>
      <c r="J1274" s="124">
        <v>100</v>
      </c>
      <c r="K1274" s="445">
        <f t="shared" si="45"/>
        <v>0</v>
      </c>
      <c r="L1274" s="445">
        <f t="shared" si="46"/>
        <v>0</v>
      </c>
      <c r="M1274" s="445">
        <f t="shared" si="47"/>
        <v>0</v>
      </c>
    </row>
    <row r="1275" spans="1:13" x14ac:dyDescent="0.3">
      <c r="A1275" s="124" t="s">
        <v>756</v>
      </c>
      <c r="B1275" s="146" t="s">
        <v>1069</v>
      </c>
      <c r="C1275" s="146" t="s">
        <v>1052</v>
      </c>
      <c r="D1275" s="146" t="s">
        <v>1054</v>
      </c>
      <c r="E1275" s="124">
        <v>18.963369963369964</v>
      </c>
      <c r="F1275" s="124">
        <v>41.571428571428569</v>
      </c>
      <c r="G1275" s="124">
        <v>36.428571428571431</v>
      </c>
      <c r="H1275" s="124">
        <v>36.428571428571431</v>
      </c>
      <c r="I1275" s="124">
        <v>17.465201465201467</v>
      </c>
      <c r="J1275" s="124">
        <v>78</v>
      </c>
      <c r="K1275" s="445">
        <f t="shared" si="45"/>
        <v>-63.571428571428569</v>
      </c>
      <c r="L1275" s="445">
        <f t="shared" si="46"/>
        <v>-82.53479853479854</v>
      </c>
      <c r="M1275" s="445">
        <f t="shared" si="47"/>
        <v>-22</v>
      </c>
    </row>
    <row r="1276" spans="1:13" x14ac:dyDescent="0.3">
      <c r="A1276" s="124" t="s">
        <v>756</v>
      </c>
      <c r="B1276" s="146" t="s">
        <v>1069</v>
      </c>
      <c r="C1276" s="124" t="s">
        <v>1056</v>
      </c>
      <c r="D1276" s="124" t="s">
        <v>1054</v>
      </c>
      <c r="E1276" s="124">
        <v>30.792778649921505</v>
      </c>
      <c r="F1276" s="124">
        <v>15.990580847723704</v>
      </c>
      <c r="G1276" s="124">
        <v>77.857142857142861</v>
      </c>
      <c r="H1276" s="124">
        <v>77.857142857142861</v>
      </c>
      <c r="I1276" s="124">
        <v>47.064364207221359</v>
      </c>
      <c r="J1276" s="124">
        <v>93.847723704866567</v>
      </c>
      <c r="K1276" s="445">
        <f t="shared" si="45"/>
        <v>-22.142857142857139</v>
      </c>
      <c r="L1276" s="445">
        <f t="shared" si="46"/>
        <v>-52.935635792778641</v>
      </c>
      <c r="M1276" s="445">
        <f t="shared" si="47"/>
        <v>-6.1522762951334329</v>
      </c>
    </row>
    <row r="1277" spans="1:13" x14ac:dyDescent="0.3">
      <c r="A1277" s="124" t="s">
        <v>756</v>
      </c>
      <c r="B1277" s="146" t="s">
        <v>1069</v>
      </c>
      <c r="C1277" s="124" t="s">
        <v>1057</v>
      </c>
      <c r="D1277" s="146" t="s">
        <v>1054</v>
      </c>
      <c r="E1277" s="124">
        <v>8.1762838468720833</v>
      </c>
      <c r="F1277" s="124">
        <v>4.5445378151260503</v>
      </c>
      <c r="G1277" s="124">
        <v>100</v>
      </c>
      <c r="H1277" s="124">
        <v>100</v>
      </c>
      <c r="I1277" s="124">
        <v>91.823716153127918</v>
      </c>
      <c r="J1277" s="124">
        <v>104.54453781512605</v>
      </c>
      <c r="K1277" s="445">
        <f t="shared" si="45"/>
        <v>0</v>
      </c>
      <c r="L1277" s="445">
        <f t="shared" si="46"/>
        <v>-8.1762838468720815</v>
      </c>
      <c r="M1277" s="445">
        <f t="shared" si="47"/>
        <v>4.5445378151260485</v>
      </c>
    </row>
    <row r="1278" spans="1:13" x14ac:dyDescent="0.3">
      <c r="A1278" s="124" t="s">
        <v>756</v>
      </c>
      <c r="B1278" s="146" t="s">
        <v>1069</v>
      </c>
      <c r="C1278" s="146" t="s">
        <v>1052</v>
      </c>
      <c r="D1278" s="146" t="s">
        <v>1055</v>
      </c>
      <c r="E1278" s="124">
        <v>33.520146520146518</v>
      </c>
      <c r="F1278" s="124">
        <v>34.575091575091577</v>
      </c>
      <c r="G1278" s="124">
        <v>60</v>
      </c>
      <c r="H1278" s="146">
        <v>60</v>
      </c>
      <c r="I1278" s="146">
        <v>26.479853479853482</v>
      </c>
      <c r="J1278" s="146">
        <v>94.575091575091577</v>
      </c>
      <c r="K1278" s="445">
        <f t="shared" si="45"/>
        <v>-40</v>
      </c>
      <c r="L1278" s="445">
        <f t="shared" si="46"/>
        <v>-73.520146520146511</v>
      </c>
      <c r="M1278" s="445">
        <f t="shared" si="47"/>
        <v>-5.4249084249084234</v>
      </c>
    </row>
    <row r="1279" spans="1:13" x14ac:dyDescent="0.3">
      <c r="A1279" s="124" t="s">
        <v>756</v>
      </c>
      <c r="B1279" s="146" t="s">
        <v>1069</v>
      </c>
      <c r="C1279" s="146" t="s">
        <v>1056</v>
      </c>
      <c r="D1279" s="146" t="s">
        <v>1055</v>
      </c>
      <c r="E1279" s="146">
        <v>27.124542124542128</v>
      </c>
      <c r="F1279" s="146">
        <v>12.084249084249084</v>
      </c>
      <c r="G1279" s="146">
        <v>91.428571428571431</v>
      </c>
      <c r="H1279" s="146">
        <v>91.428571428571431</v>
      </c>
      <c r="I1279" s="146">
        <v>64.304029304029299</v>
      </c>
      <c r="J1279" s="146">
        <v>103.51282051282051</v>
      </c>
      <c r="K1279" s="445">
        <f t="shared" ref="K1279:K1342" si="48">0-(100-H1279)</f>
        <v>-8.5714285714285694</v>
      </c>
      <c r="L1279" s="445">
        <f t="shared" ref="L1279:L1342" si="49">0-(100-I1279)</f>
        <v>-35.695970695970701</v>
      </c>
      <c r="M1279" s="445">
        <f t="shared" ref="M1279:M1342" si="50">0-(100-J1279)</f>
        <v>3.512820512820511</v>
      </c>
    </row>
    <row r="1280" spans="1:13" x14ac:dyDescent="0.3">
      <c r="A1280" s="124" t="s">
        <v>756</v>
      </c>
      <c r="B1280" s="146" t="s">
        <v>1069</v>
      </c>
      <c r="C1280" s="146" t="s">
        <v>1057</v>
      </c>
      <c r="D1280" s="146" t="s">
        <v>1055</v>
      </c>
      <c r="E1280" s="146">
        <v>9.1360195360195355</v>
      </c>
      <c r="F1280" s="146">
        <v>12.341880341880341</v>
      </c>
      <c r="G1280" s="146">
        <v>97.142857142857139</v>
      </c>
      <c r="H1280" s="146">
        <v>97.142857142857139</v>
      </c>
      <c r="I1280" s="146">
        <v>88.006837606837607</v>
      </c>
      <c r="J1280" s="146">
        <v>109.48473748473748</v>
      </c>
      <c r="K1280" s="445">
        <f t="shared" si="48"/>
        <v>-2.8571428571428612</v>
      </c>
      <c r="L1280" s="445">
        <f t="shared" si="49"/>
        <v>-11.993162393162393</v>
      </c>
      <c r="M1280" s="445">
        <f t="shared" si="50"/>
        <v>9.4847374847374795</v>
      </c>
    </row>
    <row r="1281" spans="1:13" x14ac:dyDescent="0.3">
      <c r="A1281" s="124" t="s">
        <v>756</v>
      </c>
      <c r="B1281" s="146" t="s">
        <v>770</v>
      </c>
      <c r="C1281" s="146" t="s">
        <v>1052</v>
      </c>
      <c r="D1281" s="146" t="s">
        <v>1053</v>
      </c>
      <c r="E1281" s="124">
        <v>26.893772893772898</v>
      </c>
      <c r="F1281" s="124">
        <v>28.505494505494507</v>
      </c>
      <c r="G1281" s="124">
        <v>38.571428571428569</v>
      </c>
      <c r="H1281" s="124">
        <v>38.571428571428569</v>
      </c>
      <c r="I1281" s="124">
        <v>11.677655677655672</v>
      </c>
      <c r="J1281" s="124">
        <v>67.07692307692308</v>
      </c>
      <c r="K1281" s="445">
        <f t="shared" si="48"/>
        <v>-61.428571428571431</v>
      </c>
      <c r="L1281" s="445">
        <f t="shared" si="49"/>
        <v>-88.322344322344321</v>
      </c>
      <c r="M1281" s="445">
        <f t="shared" si="50"/>
        <v>-32.92307692307692</v>
      </c>
    </row>
    <row r="1282" spans="1:13" x14ac:dyDescent="0.3">
      <c r="A1282" s="124" t="s">
        <v>756</v>
      </c>
      <c r="B1282" s="146" t="s">
        <v>770</v>
      </c>
      <c r="C1282" s="124" t="s">
        <v>1056</v>
      </c>
      <c r="D1282" s="124" t="s">
        <v>1053</v>
      </c>
      <c r="E1282" s="124">
        <v>15.02459445316588</v>
      </c>
      <c r="F1282" s="124">
        <v>15.215070643642074</v>
      </c>
      <c r="G1282" s="124">
        <v>79.285714285714292</v>
      </c>
      <c r="H1282" s="124">
        <v>79.285714285714292</v>
      </c>
      <c r="I1282" s="124">
        <v>64.261119832548417</v>
      </c>
      <c r="J1282" s="124">
        <v>94.500784929356371</v>
      </c>
      <c r="K1282" s="445">
        <f t="shared" si="48"/>
        <v>-20.714285714285708</v>
      </c>
      <c r="L1282" s="445">
        <f t="shared" si="49"/>
        <v>-35.738880167451583</v>
      </c>
      <c r="M1282" s="445">
        <f t="shared" si="50"/>
        <v>-5.4992150706436291</v>
      </c>
    </row>
    <row r="1283" spans="1:13" x14ac:dyDescent="0.3">
      <c r="A1283" s="124" t="s">
        <v>756</v>
      </c>
      <c r="B1283" s="146" t="s">
        <v>770</v>
      </c>
      <c r="C1283" s="146" t="s">
        <v>1057</v>
      </c>
      <c r="D1283" s="146" t="s">
        <v>1053</v>
      </c>
      <c r="E1283" s="124">
        <v>0</v>
      </c>
      <c r="F1283" s="124">
        <v>0</v>
      </c>
      <c r="G1283" s="124">
        <v>100</v>
      </c>
      <c r="H1283" s="124">
        <v>100</v>
      </c>
      <c r="I1283" s="124">
        <v>100</v>
      </c>
      <c r="J1283" s="124">
        <v>100</v>
      </c>
      <c r="K1283" s="445">
        <f t="shared" si="48"/>
        <v>0</v>
      </c>
      <c r="L1283" s="445">
        <f t="shared" si="49"/>
        <v>0</v>
      </c>
      <c r="M1283" s="445">
        <f t="shared" si="50"/>
        <v>0</v>
      </c>
    </row>
    <row r="1284" spans="1:13" x14ac:dyDescent="0.3">
      <c r="A1284" s="124" t="s">
        <v>756</v>
      </c>
      <c r="B1284" s="146" t="s">
        <v>770</v>
      </c>
      <c r="C1284" s="146" t="s">
        <v>1052</v>
      </c>
      <c r="D1284" s="146" t="s">
        <v>1054</v>
      </c>
      <c r="E1284" s="124">
        <v>27.989010989010989</v>
      </c>
      <c r="F1284" s="124">
        <v>34.216117216117219</v>
      </c>
      <c r="G1284" s="124">
        <v>40.714285714285715</v>
      </c>
      <c r="H1284" s="124">
        <v>40.714285714285715</v>
      </c>
      <c r="I1284" s="124">
        <v>12.725274725274726</v>
      </c>
      <c r="J1284" s="124">
        <v>74.930402930402934</v>
      </c>
      <c r="K1284" s="445">
        <f t="shared" si="48"/>
        <v>-59.285714285714285</v>
      </c>
      <c r="L1284" s="445">
        <f t="shared" si="49"/>
        <v>-87.27472527472527</v>
      </c>
      <c r="M1284" s="445">
        <f t="shared" si="50"/>
        <v>-25.069597069597066</v>
      </c>
    </row>
    <row r="1285" spans="1:13" x14ac:dyDescent="0.3">
      <c r="A1285" s="124" t="s">
        <v>756</v>
      </c>
      <c r="B1285" s="146" t="s">
        <v>770</v>
      </c>
      <c r="C1285" s="124" t="s">
        <v>1056</v>
      </c>
      <c r="D1285" s="124" t="s">
        <v>1054</v>
      </c>
      <c r="E1285" s="124">
        <v>17.582417582417584</v>
      </c>
      <c r="F1285" s="124">
        <v>18.194662480376767</v>
      </c>
      <c r="G1285" s="124">
        <v>85</v>
      </c>
      <c r="H1285" s="124">
        <v>85</v>
      </c>
      <c r="I1285" s="124">
        <v>67.417582417582423</v>
      </c>
      <c r="J1285" s="124">
        <v>103.19466248037676</v>
      </c>
      <c r="K1285" s="445">
        <f t="shared" si="48"/>
        <v>-15</v>
      </c>
      <c r="L1285" s="445">
        <f t="shared" si="49"/>
        <v>-32.582417582417577</v>
      </c>
      <c r="M1285" s="445">
        <f t="shared" si="50"/>
        <v>3.1946624803767634</v>
      </c>
    </row>
    <row r="1286" spans="1:13" x14ac:dyDescent="0.3">
      <c r="A1286" s="124" t="s">
        <v>756</v>
      </c>
      <c r="B1286" s="146" t="s">
        <v>770</v>
      </c>
      <c r="C1286" s="124" t="s">
        <v>1057</v>
      </c>
      <c r="D1286" s="146" t="s">
        <v>1054</v>
      </c>
      <c r="E1286" s="124">
        <v>10.671187773354958</v>
      </c>
      <c r="F1286" s="124">
        <v>9.2997592019263866</v>
      </c>
      <c r="G1286" s="124">
        <v>100</v>
      </c>
      <c r="H1286" s="124">
        <v>100</v>
      </c>
      <c r="I1286" s="124">
        <v>89.328812226645042</v>
      </c>
      <c r="J1286" s="124">
        <v>109.29975920192639</v>
      </c>
      <c r="K1286" s="445">
        <f t="shared" si="48"/>
        <v>0</v>
      </c>
      <c r="L1286" s="445">
        <f t="shared" si="49"/>
        <v>-10.671187773354958</v>
      </c>
      <c r="M1286" s="445">
        <f t="shared" si="50"/>
        <v>9.2997592019263919</v>
      </c>
    </row>
    <row r="1287" spans="1:13" x14ac:dyDescent="0.3">
      <c r="A1287" s="124" t="s">
        <v>756</v>
      </c>
      <c r="B1287" s="146" t="s">
        <v>770</v>
      </c>
      <c r="C1287" s="146" t="s">
        <v>1052</v>
      </c>
      <c r="D1287" s="146" t="s">
        <v>1055</v>
      </c>
      <c r="E1287" s="146">
        <v>37.890109890109891</v>
      </c>
      <c r="F1287" s="146">
        <v>21.750915750915755</v>
      </c>
      <c r="G1287" s="146">
        <v>72.857142857142861</v>
      </c>
      <c r="H1287" s="146">
        <v>72.857142857142861</v>
      </c>
      <c r="I1287" s="146">
        <v>34.967032967032971</v>
      </c>
      <c r="J1287" s="146">
        <v>94.608058608058613</v>
      </c>
      <c r="K1287" s="445">
        <f t="shared" si="48"/>
        <v>-27.142857142857139</v>
      </c>
      <c r="L1287" s="445">
        <f t="shared" si="49"/>
        <v>-65.032967032967036</v>
      </c>
      <c r="M1287" s="445">
        <f t="shared" si="50"/>
        <v>-5.391941391941387</v>
      </c>
    </row>
    <row r="1288" spans="1:13" x14ac:dyDescent="0.3">
      <c r="A1288" s="124" t="s">
        <v>756</v>
      </c>
      <c r="B1288" s="146" t="s">
        <v>770</v>
      </c>
      <c r="C1288" s="146" t="s">
        <v>1056</v>
      </c>
      <c r="D1288" s="146" t="s">
        <v>1055</v>
      </c>
      <c r="E1288" s="146">
        <v>21.114599686028264</v>
      </c>
      <c r="F1288" s="124">
        <v>21.883830455259027</v>
      </c>
      <c r="G1288" s="124">
        <v>92.857142857142861</v>
      </c>
      <c r="H1288" s="124">
        <v>92.857142857142861</v>
      </c>
      <c r="I1288" s="124">
        <v>71.74254317111459</v>
      </c>
      <c r="J1288" s="124">
        <v>114.74097331240189</v>
      </c>
      <c r="K1288" s="445">
        <f t="shared" si="48"/>
        <v>-7.1428571428571388</v>
      </c>
      <c r="L1288" s="445">
        <f t="shared" si="49"/>
        <v>-28.25745682888541</v>
      </c>
      <c r="M1288" s="445">
        <f t="shared" si="50"/>
        <v>14.740973312401891</v>
      </c>
    </row>
    <row r="1289" spans="1:13" x14ac:dyDescent="0.3">
      <c r="A1289" s="124" t="s">
        <v>756</v>
      </c>
      <c r="B1289" s="146" t="s">
        <v>770</v>
      </c>
      <c r="C1289" s="146" t="s">
        <v>1057</v>
      </c>
      <c r="D1289" s="146" t="s">
        <v>1055</v>
      </c>
      <c r="E1289" s="146">
        <v>17.980060040210414</v>
      </c>
      <c r="F1289" s="146">
        <v>19.231209892864026</v>
      </c>
      <c r="G1289" s="146">
        <v>100</v>
      </c>
      <c r="H1289" s="146">
        <v>100</v>
      </c>
      <c r="I1289" s="146">
        <v>82.019939959789582</v>
      </c>
      <c r="J1289" s="146">
        <v>119.23120989286403</v>
      </c>
      <c r="K1289" s="445">
        <f t="shared" si="48"/>
        <v>0</v>
      </c>
      <c r="L1289" s="445">
        <f t="shared" si="49"/>
        <v>-17.980060040210418</v>
      </c>
      <c r="M1289" s="445">
        <f t="shared" si="50"/>
        <v>19.23120989286403</v>
      </c>
    </row>
    <row r="1290" spans="1:13" x14ac:dyDescent="0.3">
      <c r="A1290" s="124" t="s">
        <v>756</v>
      </c>
      <c r="B1290" s="146" t="s">
        <v>1070</v>
      </c>
      <c r="C1290" s="146" t="s">
        <v>1052</v>
      </c>
      <c r="D1290" s="146" t="s">
        <v>1053</v>
      </c>
      <c r="E1290" s="124">
        <v>22.76609105180534</v>
      </c>
      <c r="F1290" s="124">
        <v>25.660910518053377</v>
      </c>
      <c r="G1290" s="124">
        <v>53.571428571428569</v>
      </c>
      <c r="H1290" s="124">
        <v>53.571428571428569</v>
      </c>
      <c r="I1290" s="124">
        <v>30.80533751962323</v>
      </c>
      <c r="J1290" s="124">
        <v>79.23233908948194</v>
      </c>
      <c r="K1290" s="445">
        <f t="shared" si="48"/>
        <v>-46.428571428571431</v>
      </c>
      <c r="L1290" s="445">
        <f t="shared" si="49"/>
        <v>-69.194662480376763</v>
      </c>
      <c r="M1290" s="445">
        <f t="shared" si="50"/>
        <v>-20.76766091051806</v>
      </c>
    </row>
    <row r="1291" spans="1:13" x14ac:dyDescent="0.3">
      <c r="A1291" s="124" t="s">
        <v>756</v>
      </c>
      <c r="B1291" s="146" t="s">
        <v>1070</v>
      </c>
      <c r="C1291" s="124" t="s">
        <v>1056</v>
      </c>
      <c r="D1291" s="124" t="s">
        <v>1053</v>
      </c>
      <c r="E1291" s="124">
        <v>18.966766193656952</v>
      </c>
      <c r="F1291" s="124">
        <v>12.427740326899992</v>
      </c>
      <c r="G1291" s="124">
        <v>83.571428571428569</v>
      </c>
      <c r="H1291" s="124">
        <v>83.571428571428569</v>
      </c>
      <c r="I1291" s="124">
        <v>64.604662377771618</v>
      </c>
      <c r="J1291" s="124">
        <v>95.999168898328563</v>
      </c>
      <c r="K1291" s="445">
        <f t="shared" si="48"/>
        <v>-16.428571428571431</v>
      </c>
      <c r="L1291" s="445">
        <f t="shared" si="49"/>
        <v>-35.395337622228382</v>
      </c>
      <c r="M1291" s="445">
        <f t="shared" si="50"/>
        <v>-4.0008311016714373</v>
      </c>
    </row>
    <row r="1292" spans="1:13" x14ac:dyDescent="0.3">
      <c r="A1292" s="124" t="s">
        <v>756</v>
      </c>
      <c r="B1292" s="146" t="s">
        <v>1070</v>
      </c>
      <c r="C1292" s="146" t="s">
        <v>1057</v>
      </c>
      <c r="D1292" s="146" t="s">
        <v>1053</v>
      </c>
      <c r="E1292" s="124">
        <v>0</v>
      </c>
      <c r="F1292" s="124">
        <v>0</v>
      </c>
      <c r="G1292" s="124">
        <v>100</v>
      </c>
      <c r="H1292" s="124">
        <v>100</v>
      </c>
      <c r="I1292" s="124">
        <v>100</v>
      </c>
      <c r="J1292" s="124">
        <v>100</v>
      </c>
      <c r="K1292" s="445">
        <f t="shared" si="48"/>
        <v>0</v>
      </c>
      <c r="L1292" s="445">
        <f t="shared" si="49"/>
        <v>0</v>
      </c>
      <c r="M1292" s="445">
        <f t="shared" si="50"/>
        <v>0</v>
      </c>
    </row>
    <row r="1293" spans="1:13" x14ac:dyDescent="0.3">
      <c r="A1293" s="124" t="s">
        <v>756</v>
      </c>
      <c r="B1293" s="146" t="s">
        <v>1070</v>
      </c>
      <c r="C1293" s="146" t="s">
        <v>1052</v>
      </c>
      <c r="D1293" s="146" t="s">
        <v>1054</v>
      </c>
      <c r="E1293" s="124">
        <v>26.502354788069077</v>
      </c>
      <c r="F1293" s="124">
        <v>28.298273155416013</v>
      </c>
      <c r="G1293" s="124">
        <v>54.285714285714285</v>
      </c>
      <c r="H1293" s="124">
        <v>54.285714285714285</v>
      </c>
      <c r="I1293" s="124">
        <v>27.783359497645208</v>
      </c>
      <c r="J1293" s="124">
        <v>82.58398744113029</v>
      </c>
      <c r="K1293" s="445">
        <f t="shared" si="48"/>
        <v>-45.714285714285715</v>
      </c>
      <c r="L1293" s="445">
        <f t="shared" si="49"/>
        <v>-72.216640502354792</v>
      </c>
      <c r="M1293" s="445">
        <f t="shared" si="50"/>
        <v>-17.41601255886971</v>
      </c>
    </row>
    <row r="1294" spans="1:13" x14ac:dyDescent="0.3">
      <c r="A1294" s="124" t="s">
        <v>756</v>
      </c>
      <c r="B1294" s="146" t="s">
        <v>1070</v>
      </c>
      <c r="C1294" s="124" t="s">
        <v>1056</v>
      </c>
      <c r="D1294" s="124" t="s">
        <v>1054</v>
      </c>
      <c r="E1294" s="124">
        <v>22.174079888365604</v>
      </c>
      <c r="F1294" s="124">
        <v>8.6425954997383574</v>
      </c>
      <c r="G1294" s="124">
        <v>85</v>
      </c>
      <c r="H1294" s="124">
        <v>85</v>
      </c>
      <c r="I1294" s="124">
        <v>62.825920111634396</v>
      </c>
      <c r="J1294" s="124">
        <v>93.642595499738363</v>
      </c>
      <c r="K1294" s="445">
        <f t="shared" si="48"/>
        <v>-15</v>
      </c>
      <c r="L1294" s="445">
        <f t="shared" si="49"/>
        <v>-37.174079888365604</v>
      </c>
      <c r="M1294" s="445">
        <f t="shared" si="50"/>
        <v>-6.3574045002616373</v>
      </c>
    </row>
    <row r="1295" spans="1:13" x14ac:dyDescent="0.3">
      <c r="A1295" s="124" t="s">
        <v>756</v>
      </c>
      <c r="B1295" s="146" t="s">
        <v>1070</v>
      </c>
      <c r="C1295" s="124" t="s">
        <v>1057</v>
      </c>
      <c r="D1295" s="146" t="s">
        <v>1054</v>
      </c>
      <c r="E1295" s="124">
        <v>7.7254901960784315</v>
      </c>
      <c r="F1295" s="124">
        <v>4.0588235294117654</v>
      </c>
      <c r="G1295" s="124">
        <v>100</v>
      </c>
      <c r="H1295" s="124">
        <v>100</v>
      </c>
      <c r="I1295" s="124">
        <v>92.274509803921575</v>
      </c>
      <c r="J1295" s="124">
        <v>104.05882352941177</v>
      </c>
      <c r="K1295" s="445">
        <f t="shared" si="48"/>
        <v>0</v>
      </c>
      <c r="L1295" s="445">
        <f t="shared" si="49"/>
        <v>-7.7254901960784252</v>
      </c>
      <c r="M1295" s="445">
        <f t="shared" si="50"/>
        <v>4.058823529411768</v>
      </c>
    </row>
    <row r="1296" spans="1:13" x14ac:dyDescent="0.3">
      <c r="A1296" s="124" t="s">
        <v>756</v>
      </c>
      <c r="B1296" s="146" t="s">
        <v>1070</v>
      </c>
      <c r="C1296" s="146" t="s">
        <v>1052</v>
      </c>
      <c r="D1296" s="146" t="s">
        <v>1055</v>
      </c>
      <c r="E1296" s="124">
        <v>25.179487179487182</v>
      </c>
      <c r="F1296" s="124">
        <v>37.172161172161168</v>
      </c>
      <c r="G1296" s="124">
        <v>60</v>
      </c>
      <c r="H1296" s="124">
        <v>60</v>
      </c>
      <c r="I1296" s="124">
        <v>34.820512820512818</v>
      </c>
      <c r="J1296" s="124">
        <v>97.172161172161168</v>
      </c>
      <c r="K1296" s="445">
        <f t="shared" si="48"/>
        <v>-40</v>
      </c>
      <c r="L1296" s="445">
        <f t="shared" si="49"/>
        <v>-65.179487179487182</v>
      </c>
      <c r="M1296" s="445">
        <f t="shared" si="50"/>
        <v>-2.827838827838832</v>
      </c>
    </row>
    <row r="1297" spans="1:13" x14ac:dyDescent="0.3">
      <c r="A1297" s="124" t="s">
        <v>756</v>
      </c>
      <c r="B1297" s="146" t="s">
        <v>1070</v>
      </c>
      <c r="C1297" s="146" t="s">
        <v>1056</v>
      </c>
      <c r="D1297" s="146" t="s">
        <v>1055</v>
      </c>
      <c r="E1297" s="146">
        <v>24.306645735217163</v>
      </c>
      <c r="F1297" s="124">
        <v>12.344322344322347</v>
      </c>
      <c r="G1297" s="124">
        <v>92.142857142857139</v>
      </c>
      <c r="H1297" s="124">
        <v>92.142857142857139</v>
      </c>
      <c r="I1297" s="124">
        <v>67.836211407639979</v>
      </c>
      <c r="J1297" s="124">
        <v>104.48717948717949</v>
      </c>
      <c r="K1297" s="445">
        <f t="shared" si="48"/>
        <v>-7.8571428571428612</v>
      </c>
      <c r="L1297" s="445">
        <f t="shared" si="49"/>
        <v>-32.163788592360021</v>
      </c>
      <c r="M1297" s="445">
        <f t="shared" si="50"/>
        <v>4.487179487179489</v>
      </c>
    </row>
    <row r="1298" spans="1:13" x14ac:dyDescent="0.3">
      <c r="A1298" s="124" t="s">
        <v>756</v>
      </c>
      <c r="B1298" s="146" t="s">
        <v>1070</v>
      </c>
      <c r="C1298" s="146" t="s">
        <v>1057</v>
      </c>
      <c r="D1298" s="124" t="s">
        <v>1055</v>
      </c>
      <c r="E1298" s="146">
        <v>16.066365007541478</v>
      </c>
      <c r="F1298" s="124">
        <v>8.3557422969187662</v>
      </c>
      <c r="G1298" s="124">
        <v>99.285714285714292</v>
      </c>
      <c r="H1298" s="124">
        <v>99.285714285714292</v>
      </c>
      <c r="I1298" s="124">
        <v>83.219349278172814</v>
      </c>
      <c r="J1298" s="124">
        <v>107.64145658263305</v>
      </c>
      <c r="K1298" s="445">
        <f t="shared" si="48"/>
        <v>-0.7142857142857082</v>
      </c>
      <c r="L1298" s="445">
        <f t="shared" si="49"/>
        <v>-16.780650721827186</v>
      </c>
      <c r="M1298" s="445">
        <f t="shared" si="50"/>
        <v>7.6414565826330545</v>
      </c>
    </row>
    <row r="1299" spans="1:13" x14ac:dyDescent="0.3">
      <c r="A1299" s="124" t="s">
        <v>756</v>
      </c>
      <c r="B1299" s="146" t="s">
        <v>1071</v>
      </c>
      <c r="C1299" s="146" t="s">
        <v>1052</v>
      </c>
      <c r="D1299" s="146" t="s">
        <v>1053</v>
      </c>
      <c r="E1299" s="124">
        <v>27.632478632478634</v>
      </c>
      <c r="F1299" s="124">
        <v>20.694749694749696</v>
      </c>
      <c r="G1299" s="124">
        <v>68.75</v>
      </c>
      <c r="H1299" s="124">
        <v>68.75</v>
      </c>
      <c r="I1299" s="124">
        <v>41.117521367521363</v>
      </c>
      <c r="J1299" s="124">
        <v>89.444749694749703</v>
      </c>
      <c r="K1299" s="445">
        <f t="shared" si="48"/>
        <v>-31.25</v>
      </c>
      <c r="L1299" s="445">
        <f t="shared" si="49"/>
        <v>-58.882478632478637</v>
      </c>
      <c r="M1299" s="445">
        <f t="shared" si="50"/>
        <v>-10.555250305250297</v>
      </c>
    </row>
    <row r="1300" spans="1:13" x14ac:dyDescent="0.3">
      <c r="A1300" s="124" t="s">
        <v>756</v>
      </c>
      <c r="B1300" s="146" t="s">
        <v>1071</v>
      </c>
      <c r="C1300" s="124" t="s">
        <v>1056</v>
      </c>
      <c r="D1300" s="124" t="s">
        <v>1053</v>
      </c>
      <c r="E1300" s="124">
        <v>12.71125116713352</v>
      </c>
      <c r="F1300" s="124">
        <v>16.127917833800186</v>
      </c>
      <c r="G1300" s="124">
        <v>84.375</v>
      </c>
      <c r="H1300" s="124">
        <v>84.375</v>
      </c>
      <c r="I1300" s="124">
        <v>71.663748832866474</v>
      </c>
      <c r="J1300" s="124">
        <v>100.50291783380018</v>
      </c>
      <c r="K1300" s="445">
        <f t="shared" si="48"/>
        <v>-15.625</v>
      </c>
      <c r="L1300" s="445">
        <f t="shared" si="49"/>
        <v>-28.336251167133526</v>
      </c>
      <c r="M1300" s="445">
        <f t="shared" si="50"/>
        <v>0.50291783380018273</v>
      </c>
    </row>
    <row r="1301" spans="1:13" x14ac:dyDescent="0.3">
      <c r="A1301" s="124" t="s">
        <v>756</v>
      </c>
      <c r="B1301" s="146" t="s">
        <v>1071</v>
      </c>
      <c r="C1301" s="146" t="s">
        <v>1057</v>
      </c>
      <c r="D1301" s="146" t="s">
        <v>1053</v>
      </c>
      <c r="E1301" s="124">
        <v>0</v>
      </c>
      <c r="F1301" s="124">
        <v>0</v>
      </c>
      <c r="G1301" s="124">
        <v>100</v>
      </c>
      <c r="H1301" s="124">
        <v>100</v>
      </c>
      <c r="I1301" s="124">
        <v>100</v>
      </c>
      <c r="J1301" s="124">
        <v>100</v>
      </c>
      <c r="K1301" s="445">
        <f t="shared" si="48"/>
        <v>0</v>
      </c>
      <c r="L1301" s="445">
        <f t="shared" si="49"/>
        <v>0</v>
      </c>
      <c r="M1301" s="445">
        <f t="shared" si="50"/>
        <v>0</v>
      </c>
    </row>
    <row r="1302" spans="1:13" x14ac:dyDescent="0.3">
      <c r="A1302" s="124" t="s">
        <v>756</v>
      </c>
      <c r="B1302" s="146" t="s">
        <v>1071</v>
      </c>
      <c r="C1302" s="146" t="s">
        <v>1052</v>
      </c>
      <c r="D1302" s="146" t="s">
        <v>1054</v>
      </c>
      <c r="E1302" s="124">
        <v>33.442765567765562</v>
      </c>
      <c r="F1302" s="124">
        <v>21.91895604395604</v>
      </c>
      <c r="G1302" s="124">
        <v>79.375</v>
      </c>
      <c r="H1302" s="124">
        <v>79.375</v>
      </c>
      <c r="I1302" s="124">
        <v>45.932234432234438</v>
      </c>
      <c r="J1302" s="124">
        <v>101.29395604395604</v>
      </c>
      <c r="K1302" s="445">
        <f t="shared" si="48"/>
        <v>-20.625</v>
      </c>
      <c r="L1302" s="445">
        <f t="shared" si="49"/>
        <v>-54.067765567765562</v>
      </c>
      <c r="M1302" s="445">
        <f t="shared" si="50"/>
        <v>1.2939560439560438</v>
      </c>
    </row>
    <row r="1303" spans="1:13" x14ac:dyDescent="0.3">
      <c r="A1303" s="124" t="s">
        <v>756</v>
      </c>
      <c r="B1303" s="146" t="s">
        <v>1071</v>
      </c>
      <c r="C1303" s="124" t="s">
        <v>1056</v>
      </c>
      <c r="D1303" s="124" t="s">
        <v>1054</v>
      </c>
      <c r="E1303" s="124">
        <v>20.849206349206348</v>
      </c>
      <c r="F1303" s="124">
        <v>16.273809523809522</v>
      </c>
      <c r="G1303" s="124">
        <v>93.75</v>
      </c>
      <c r="H1303" s="124">
        <v>93.75</v>
      </c>
      <c r="I1303" s="124">
        <v>72.900793650793645</v>
      </c>
      <c r="J1303" s="124">
        <v>110.02380952380952</v>
      </c>
      <c r="K1303" s="445">
        <f t="shared" si="48"/>
        <v>-6.25</v>
      </c>
      <c r="L1303" s="445">
        <f t="shared" si="49"/>
        <v>-27.099206349206355</v>
      </c>
      <c r="M1303" s="445">
        <f t="shared" si="50"/>
        <v>10.023809523809518</v>
      </c>
    </row>
    <row r="1304" spans="1:13" x14ac:dyDescent="0.3">
      <c r="A1304" s="124" t="s">
        <v>756</v>
      </c>
      <c r="B1304" s="146" t="s">
        <v>1071</v>
      </c>
      <c r="C1304" s="124" t="s">
        <v>1057</v>
      </c>
      <c r="D1304" s="146" t="s">
        <v>1054</v>
      </c>
      <c r="E1304" s="124">
        <v>9.4484004127966976</v>
      </c>
      <c r="F1304" s="124">
        <v>4.7846577227382179</v>
      </c>
      <c r="G1304" s="124">
        <v>100</v>
      </c>
      <c r="H1304" s="124">
        <v>100</v>
      </c>
      <c r="I1304" s="124">
        <v>90.551599587203299</v>
      </c>
      <c r="J1304" s="124">
        <v>104.78465772273822</v>
      </c>
      <c r="K1304" s="445">
        <f t="shared" si="48"/>
        <v>0</v>
      </c>
      <c r="L1304" s="445">
        <f t="shared" si="49"/>
        <v>-9.4484004127967012</v>
      </c>
      <c r="M1304" s="445">
        <f t="shared" si="50"/>
        <v>4.784657722738217</v>
      </c>
    </row>
    <row r="1305" spans="1:13" x14ac:dyDescent="0.3">
      <c r="A1305" s="124" t="s">
        <v>756</v>
      </c>
      <c r="B1305" s="146" t="s">
        <v>1071</v>
      </c>
      <c r="C1305" s="146" t="s">
        <v>1052</v>
      </c>
      <c r="D1305" s="146" t="s">
        <v>1055</v>
      </c>
      <c r="E1305" s="146">
        <v>22.616605616605614</v>
      </c>
      <c r="F1305" s="124">
        <v>25.604700854700855</v>
      </c>
      <c r="G1305" s="124">
        <v>91.25</v>
      </c>
      <c r="H1305" s="124">
        <v>91.25</v>
      </c>
      <c r="I1305" s="124">
        <v>68.633394383394389</v>
      </c>
      <c r="J1305" s="124">
        <v>116.85470085470085</v>
      </c>
      <c r="K1305" s="445">
        <f t="shared" si="48"/>
        <v>-8.75</v>
      </c>
      <c r="L1305" s="445">
        <f t="shared" si="49"/>
        <v>-31.366605616605611</v>
      </c>
      <c r="M1305" s="445">
        <f t="shared" si="50"/>
        <v>16.854700854700852</v>
      </c>
    </row>
    <row r="1306" spans="1:13" x14ac:dyDescent="0.3">
      <c r="A1306" s="124" t="s">
        <v>756</v>
      </c>
      <c r="B1306" s="146" t="s">
        <v>1071</v>
      </c>
      <c r="C1306" s="146" t="s">
        <v>1056</v>
      </c>
      <c r="D1306" s="146" t="s">
        <v>1055</v>
      </c>
      <c r="E1306" s="146">
        <v>16.268620268620268</v>
      </c>
      <c r="F1306" s="124">
        <v>20.89041514041514</v>
      </c>
      <c r="G1306" s="124">
        <v>101.25</v>
      </c>
      <c r="H1306" s="124">
        <v>101.25</v>
      </c>
      <c r="I1306" s="124">
        <v>84.981379731379732</v>
      </c>
      <c r="J1306" s="124">
        <v>122.14041514041514</v>
      </c>
      <c r="K1306" s="445">
        <f t="shared" si="48"/>
        <v>1.25</v>
      </c>
      <c r="L1306" s="445">
        <f t="shared" si="49"/>
        <v>-15.018620268620268</v>
      </c>
      <c r="M1306" s="445">
        <f t="shared" si="50"/>
        <v>22.140415140415143</v>
      </c>
    </row>
    <row r="1307" spans="1:13" x14ac:dyDescent="0.3">
      <c r="A1307" s="124" t="s">
        <v>756</v>
      </c>
      <c r="B1307" s="146" t="s">
        <v>1071</v>
      </c>
      <c r="C1307" s="146" t="s">
        <v>1057</v>
      </c>
      <c r="D1307" s="124" t="s">
        <v>1055</v>
      </c>
      <c r="E1307" s="146">
        <v>9.4428699955015745</v>
      </c>
      <c r="F1307" s="124">
        <v>9.7962213225371109</v>
      </c>
      <c r="G1307" s="124">
        <v>100</v>
      </c>
      <c r="H1307" s="124">
        <v>100</v>
      </c>
      <c r="I1307" s="124">
        <v>90.557130004498418</v>
      </c>
      <c r="J1307" s="124">
        <v>109.79622132253711</v>
      </c>
      <c r="K1307" s="445">
        <f t="shared" si="48"/>
        <v>0</v>
      </c>
      <c r="L1307" s="445">
        <f t="shared" si="49"/>
        <v>-9.4428699955015816</v>
      </c>
      <c r="M1307" s="445">
        <f t="shared" si="50"/>
        <v>9.7962213225371073</v>
      </c>
    </row>
    <row r="1308" spans="1:13" x14ac:dyDescent="0.3">
      <c r="A1308" s="124" t="s">
        <v>756</v>
      </c>
      <c r="B1308" s="146" t="s">
        <v>779</v>
      </c>
      <c r="C1308" s="146" t="s">
        <v>1052</v>
      </c>
      <c r="D1308" s="146" t="s">
        <v>1053</v>
      </c>
      <c r="E1308" s="124">
        <v>25.067503924646783</v>
      </c>
      <c r="F1308" s="124">
        <v>35.733124018838303</v>
      </c>
      <c r="G1308" s="124">
        <v>38.571428571428569</v>
      </c>
      <c r="H1308" s="124">
        <v>38.571428571428569</v>
      </c>
      <c r="I1308" s="124">
        <v>13.503924646781787</v>
      </c>
      <c r="J1308" s="124">
        <v>74.304552590266866</v>
      </c>
      <c r="K1308" s="445">
        <f t="shared" si="48"/>
        <v>-61.428571428571431</v>
      </c>
      <c r="L1308" s="445">
        <f t="shared" si="49"/>
        <v>-86.496075353218217</v>
      </c>
      <c r="M1308" s="445">
        <f t="shared" si="50"/>
        <v>-25.695447409733134</v>
      </c>
    </row>
    <row r="1309" spans="1:13" x14ac:dyDescent="0.3">
      <c r="A1309" s="124" t="s">
        <v>756</v>
      </c>
      <c r="B1309" s="146" t="s">
        <v>779</v>
      </c>
      <c r="C1309" s="124" t="s">
        <v>1056</v>
      </c>
      <c r="D1309" s="124" t="s">
        <v>1053</v>
      </c>
      <c r="E1309" s="124">
        <v>18.395604395604398</v>
      </c>
      <c r="F1309" s="124">
        <v>21.010989010989015</v>
      </c>
      <c r="G1309" s="124">
        <v>69.285714285714292</v>
      </c>
      <c r="H1309" s="124">
        <v>69.285714285714292</v>
      </c>
      <c r="I1309" s="124">
        <v>50.890109890109898</v>
      </c>
      <c r="J1309" s="124">
        <v>90.296703296703299</v>
      </c>
      <c r="K1309" s="445">
        <f t="shared" si="48"/>
        <v>-30.714285714285708</v>
      </c>
      <c r="L1309" s="445">
        <f t="shared" si="49"/>
        <v>-49.109890109890102</v>
      </c>
      <c r="M1309" s="445">
        <f t="shared" si="50"/>
        <v>-9.7032967032967008</v>
      </c>
    </row>
    <row r="1310" spans="1:13" x14ac:dyDescent="0.3">
      <c r="A1310" s="124" t="s">
        <v>756</v>
      </c>
      <c r="B1310" s="146" t="s">
        <v>779</v>
      </c>
      <c r="C1310" s="146" t="s">
        <v>1057</v>
      </c>
      <c r="D1310" s="146" t="s">
        <v>1053</v>
      </c>
      <c r="E1310" s="124">
        <v>0</v>
      </c>
      <c r="F1310" s="124">
        <v>0</v>
      </c>
      <c r="G1310" s="124">
        <v>100</v>
      </c>
      <c r="H1310" s="124">
        <v>100</v>
      </c>
      <c r="I1310" s="124">
        <v>100</v>
      </c>
      <c r="J1310" s="124">
        <v>100</v>
      </c>
      <c r="K1310" s="445">
        <f t="shared" si="48"/>
        <v>0</v>
      </c>
      <c r="L1310" s="445">
        <f t="shared" si="49"/>
        <v>0</v>
      </c>
      <c r="M1310" s="445">
        <f t="shared" si="50"/>
        <v>0</v>
      </c>
    </row>
    <row r="1311" spans="1:13" x14ac:dyDescent="0.3">
      <c r="A1311" s="124" t="s">
        <v>756</v>
      </c>
      <c r="B1311" s="146" t="s">
        <v>779</v>
      </c>
      <c r="C1311" s="146" t="s">
        <v>1052</v>
      </c>
      <c r="D1311" s="146" t="s">
        <v>1054</v>
      </c>
      <c r="E1311" s="146">
        <v>29.504622361765222</v>
      </c>
      <c r="F1311" s="146">
        <v>37.034711320425615</v>
      </c>
      <c r="G1311" s="146">
        <v>43.571428571428569</v>
      </c>
      <c r="H1311" s="146">
        <v>43.571428571428569</v>
      </c>
      <c r="I1311" s="146">
        <v>14.066806209663348</v>
      </c>
      <c r="J1311" s="146">
        <v>80.606139891854184</v>
      </c>
      <c r="K1311" s="445">
        <f t="shared" si="48"/>
        <v>-56.428571428571431</v>
      </c>
      <c r="L1311" s="445">
        <f t="shared" si="49"/>
        <v>-85.933193790336645</v>
      </c>
      <c r="M1311" s="445">
        <f t="shared" si="50"/>
        <v>-19.393860108145816</v>
      </c>
    </row>
    <row r="1312" spans="1:13" x14ac:dyDescent="0.3">
      <c r="A1312" s="124" t="s">
        <v>756</v>
      </c>
      <c r="B1312" s="146" t="s">
        <v>779</v>
      </c>
      <c r="C1312" s="146" t="s">
        <v>1056</v>
      </c>
      <c r="D1312" s="146" t="s">
        <v>1054</v>
      </c>
      <c r="E1312" s="146">
        <v>29.042735042735043</v>
      </c>
      <c r="F1312" s="146">
        <v>18.116692830978543</v>
      </c>
      <c r="G1312" s="146">
        <v>70.714285714285708</v>
      </c>
      <c r="H1312" s="146">
        <v>70.714285714285708</v>
      </c>
      <c r="I1312" s="146">
        <v>41.671550671550662</v>
      </c>
      <c r="J1312" s="146">
        <v>88.830978545264259</v>
      </c>
      <c r="K1312" s="445">
        <f t="shared" si="48"/>
        <v>-29.285714285714292</v>
      </c>
      <c r="L1312" s="445">
        <f t="shared" si="49"/>
        <v>-58.328449328449338</v>
      </c>
      <c r="M1312" s="445">
        <f t="shared" si="50"/>
        <v>-11.169021454735741</v>
      </c>
    </row>
    <row r="1313" spans="1:13" x14ac:dyDescent="0.3">
      <c r="A1313" s="124" t="s">
        <v>756</v>
      </c>
      <c r="B1313" s="146" t="s">
        <v>779</v>
      </c>
      <c r="C1313" s="146" t="s">
        <v>1057</v>
      </c>
      <c r="D1313" s="146" t="s">
        <v>1054</v>
      </c>
      <c r="E1313" s="146">
        <v>14.324129651860746</v>
      </c>
      <c r="F1313" s="146">
        <v>5.5168734160330803</v>
      </c>
      <c r="G1313" s="146">
        <v>97.142857142857139</v>
      </c>
      <c r="H1313" s="146">
        <v>97.142857142857139</v>
      </c>
      <c r="I1313" s="146">
        <v>82.818727490996395</v>
      </c>
      <c r="J1313" s="146">
        <v>102.65973055889022</v>
      </c>
      <c r="K1313" s="445">
        <f t="shared" si="48"/>
        <v>-2.8571428571428612</v>
      </c>
      <c r="L1313" s="445">
        <f t="shared" si="49"/>
        <v>-17.181272509003605</v>
      </c>
      <c r="M1313" s="445">
        <f t="shared" si="50"/>
        <v>2.6597305588902174</v>
      </c>
    </row>
    <row r="1314" spans="1:13" x14ac:dyDescent="0.3">
      <c r="A1314" s="124" t="s">
        <v>756</v>
      </c>
      <c r="B1314" s="146" t="s">
        <v>779</v>
      </c>
      <c r="C1314" s="146" t="s">
        <v>1052</v>
      </c>
      <c r="D1314" s="146" t="s">
        <v>1055</v>
      </c>
      <c r="E1314" s="124">
        <v>30.903540903540904</v>
      </c>
      <c r="F1314" s="124">
        <v>29.829059829059826</v>
      </c>
      <c r="G1314" s="124">
        <v>70.714285714285708</v>
      </c>
      <c r="H1314" s="124">
        <v>70.714285714285708</v>
      </c>
      <c r="I1314" s="124">
        <v>39.810744810744808</v>
      </c>
      <c r="J1314" s="124">
        <v>100.54334554334554</v>
      </c>
      <c r="K1314" s="445">
        <f t="shared" si="48"/>
        <v>-29.285714285714292</v>
      </c>
      <c r="L1314" s="445">
        <f t="shared" si="49"/>
        <v>-60.189255189255192</v>
      </c>
      <c r="M1314" s="445">
        <f t="shared" si="50"/>
        <v>0.54334554334553786</v>
      </c>
    </row>
    <row r="1315" spans="1:13" x14ac:dyDescent="0.3">
      <c r="A1315" s="124" t="s">
        <v>756</v>
      </c>
      <c r="B1315" s="146" t="s">
        <v>779</v>
      </c>
      <c r="C1315" s="146" t="s">
        <v>1056</v>
      </c>
      <c r="D1315" s="146" t="s">
        <v>1055</v>
      </c>
      <c r="E1315" s="146">
        <v>34.215768358625503</v>
      </c>
      <c r="F1315" s="124">
        <v>15.36089307517879</v>
      </c>
      <c r="G1315" s="124">
        <v>84.285714285714292</v>
      </c>
      <c r="H1315" s="124">
        <v>84.285714285714292</v>
      </c>
      <c r="I1315" s="124">
        <v>50.069945927088789</v>
      </c>
      <c r="J1315" s="124">
        <v>99.646607360893086</v>
      </c>
      <c r="K1315" s="445">
        <f t="shared" si="48"/>
        <v>-15.714285714285708</v>
      </c>
      <c r="L1315" s="445">
        <f t="shared" si="49"/>
        <v>-49.930054072911211</v>
      </c>
      <c r="M1315" s="445">
        <f t="shared" si="50"/>
        <v>-0.35339263910691443</v>
      </c>
    </row>
    <row r="1316" spans="1:13" x14ac:dyDescent="0.3">
      <c r="A1316" s="124" t="s">
        <v>756</v>
      </c>
      <c r="B1316" s="146" t="s">
        <v>779</v>
      </c>
      <c r="C1316" s="146" t="s">
        <v>1057</v>
      </c>
      <c r="D1316" s="124" t="s">
        <v>1055</v>
      </c>
      <c r="E1316" s="146">
        <v>17.20286063143206</v>
      </c>
      <c r="F1316" s="124">
        <v>10.687249258677832</v>
      </c>
      <c r="G1316" s="124">
        <v>90.714285714285708</v>
      </c>
      <c r="H1316" s="124">
        <v>90.714285714285708</v>
      </c>
      <c r="I1316" s="124">
        <v>73.511425082853648</v>
      </c>
      <c r="J1316" s="124">
        <v>101.40153497296355</v>
      </c>
      <c r="K1316" s="445">
        <f t="shared" si="48"/>
        <v>-9.2857142857142918</v>
      </c>
      <c r="L1316" s="445">
        <f t="shared" si="49"/>
        <v>-26.488574917146352</v>
      </c>
      <c r="M1316" s="445">
        <f t="shared" si="50"/>
        <v>1.401534972963546</v>
      </c>
    </row>
    <row r="1317" spans="1:13" x14ac:dyDescent="0.3">
      <c r="A1317" s="124" t="s">
        <v>756</v>
      </c>
      <c r="B1317" s="146" t="s">
        <v>1072</v>
      </c>
      <c r="C1317" s="146" t="s">
        <v>1052</v>
      </c>
      <c r="D1317" s="146" t="s">
        <v>1053</v>
      </c>
      <c r="E1317" s="124">
        <v>23.664529914529915</v>
      </c>
      <c r="F1317" s="124">
        <v>24.376068376068375</v>
      </c>
      <c r="G1317" s="124">
        <v>55</v>
      </c>
      <c r="H1317" s="124">
        <v>55</v>
      </c>
      <c r="I1317" s="124">
        <v>31.335470085470085</v>
      </c>
      <c r="J1317" s="124">
        <v>79.376068376068375</v>
      </c>
      <c r="K1317" s="445">
        <f t="shared" si="48"/>
        <v>-45</v>
      </c>
      <c r="L1317" s="445">
        <f t="shared" si="49"/>
        <v>-68.664529914529908</v>
      </c>
      <c r="M1317" s="445">
        <f t="shared" si="50"/>
        <v>-20.623931623931625</v>
      </c>
    </row>
    <row r="1318" spans="1:13" x14ac:dyDescent="0.3">
      <c r="A1318" s="124" t="s">
        <v>756</v>
      </c>
      <c r="B1318" s="146" t="s">
        <v>1072</v>
      </c>
      <c r="C1318" s="124" t="s">
        <v>1056</v>
      </c>
      <c r="D1318" s="124" t="s">
        <v>1053</v>
      </c>
      <c r="E1318" s="124">
        <v>18.289278531925593</v>
      </c>
      <c r="F1318" s="124">
        <v>22.68885118149824</v>
      </c>
      <c r="G1318" s="124">
        <v>77.5</v>
      </c>
      <c r="H1318" s="124">
        <v>77.5</v>
      </c>
      <c r="I1318" s="124">
        <v>59.210721468074411</v>
      </c>
      <c r="J1318" s="124">
        <v>100.18885118149824</v>
      </c>
      <c r="K1318" s="445">
        <f t="shared" si="48"/>
        <v>-22.5</v>
      </c>
      <c r="L1318" s="445">
        <f t="shared" si="49"/>
        <v>-40.789278531925589</v>
      </c>
      <c r="M1318" s="445">
        <f t="shared" si="50"/>
        <v>0.18885118149823654</v>
      </c>
    </row>
    <row r="1319" spans="1:13" x14ac:dyDescent="0.3">
      <c r="A1319" s="124" t="s">
        <v>756</v>
      </c>
      <c r="B1319" s="146" t="s">
        <v>1072</v>
      </c>
      <c r="C1319" s="146" t="s">
        <v>1057</v>
      </c>
      <c r="D1319" s="146" t="s">
        <v>1053</v>
      </c>
      <c r="E1319" s="124">
        <v>0</v>
      </c>
      <c r="F1319" s="124">
        <v>0</v>
      </c>
      <c r="G1319" s="124">
        <v>100</v>
      </c>
      <c r="H1319" s="124">
        <v>100</v>
      </c>
      <c r="I1319" s="124">
        <v>100</v>
      </c>
      <c r="J1319" s="124">
        <v>100</v>
      </c>
      <c r="K1319" s="445">
        <f t="shared" si="48"/>
        <v>0</v>
      </c>
      <c r="L1319" s="445">
        <f t="shared" si="49"/>
        <v>0</v>
      </c>
      <c r="M1319" s="445">
        <f t="shared" si="50"/>
        <v>0</v>
      </c>
    </row>
    <row r="1320" spans="1:13" x14ac:dyDescent="0.3">
      <c r="A1320" s="124" t="s">
        <v>756</v>
      </c>
      <c r="B1320" s="146" t="s">
        <v>1072</v>
      </c>
      <c r="C1320" s="146" t="s">
        <v>1052</v>
      </c>
      <c r="D1320" s="146" t="s">
        <v>1054</v>
      </c>
      <c r="E1320" s="146">
        <v>22.661782661782659</v>
      </c>
      <c r="F1320" s="146">
        <v>25.983211233211232</v>
      </c>
      <c r="G1320" s="146">
        <v>56.25</v>
      </c>
      <c r="H1320" s="146">
        <v>56.25</v>
      </c>
      <c r="I1320" s="146">
        <v>33.588217338217341</v>
      </c>
      <c r="J1320" s="146">
        <v>82.233211233211236</v>
      </c>
      <c r="K1320" s="445">
        <f t="shared" si="48"/>
        <v>-43.75</v>
      </c>
      <c r="L1320" s="445">
        <f t="shared" si="49"/>
        <v>-66.411782661782667</v>
      </c>
      <c r="M1320" s="445">
        <f t="shared" si="50"/>
        <v>-17.766788766788764</v>
      </c>
    </row>
    <row r="1321" spans="1:13" x14ac:dyDescent="0.3">
      <c r="A1321" s="124" t="s">
        <v>756</v>
      </c>
      <c r="B1321" s="146" t="s">
        <v>1072</v>
      </c>
      <c r="C1321" s="124" t="s">
        <v>1056</v>
      </c>
      <c r="D1321" s="124" t="s">
        <v>1054</v>
      </c>
      <c r="E1321" s="124">
        <v>15.441239316239315</v>
      </c>
      <c r="F1321" s="124">
        <v>27.924145299145298</v>
      </c>
      <c r="G1321" s="124">
        <v>76.875</v>
      </c>
      <c r="H1321" s="124">
        <v>76.875</v>
      </c>
      <c r="I1321" s="124">
        <v>61.433760683760681</v>
      </c>
      <c r="J1321" s="124">
        <v>104.79914529914529</v>
      </c>
      <c r="K1321" s="445">
        <f t="shared" si="48"/>
        <v>-23.125</v>
      </c>
      <c r="L1321" s="445">
        <f t="shared" si="49"/>
        <v>-38.566239316239319</v>
      </c>
      <c r="M1321" s="445">
        <f t="shared" si="50"/>
        <v>4.7991452991452945</v>
      </c>
    </row>
    <row r="1322" spans="1:13" x14ac:dyDescent="0.3">
      <c r="A1322" s="124" t="s">
        <v>756</v>
      </c>
      <c r="B1322" s="146" t="s">
        <v>1072</v>
      </c>
      <c r="C1322" s="124" t="s">
        <v>1057</v>
      </c>
      <c r="D1322" s="146" t="s">
        <v>1054</v>
      </c>
      <c r="E1322" s="124">
        <v>13.651470588235293</v>
      </c>
      <c r="F1322" s="124">
        <v>8.0820261437908485</v>
      </c>
      <c r="G1322" s="124">
        <v>94.375</v>
      </c>
      <c r="H1322" s="124">
        <v>94.375</v>
      </c>
      <c r="I1322" s="124">
        <v>80.723529411764702</v>
      </c>
      <c r="J1322" s="124">
        <v>102.45702614379084</v>
      </c>
      <c r="K1322" s="445">
        <f t="shared" si="48"/>
        <v>-5.625</v>
      </c>
      <c r="L1322" s="445">
        <f t="shared" si="49"/>
        <v>-19.276470588235298</v>
      </c>
      <c r="M1322" s="445">
        <f t="shared" si="50"/>
        <v>2.4570261437908414</v>
      </c>
    </row>
    <row r="1323" spans="1:13" x14ac:dyDescent="0.3">
      <c r="A1323" s="124" t="s">
        <v>756</v>
      </c>
      <c r="B1323" s="146" t="s">
        <v>1072</v>
      </c>
      <c r="C1323" s="146" t="s">
        <v>1052</v>
      </c>
      <c r="D1323" s="146" t="s">
        <v>1055</v>
      </c>
      <c r="E1323" s="124">
        <v>24.481837606837605</v>
      </c>
      <c r="F1323" s="124">
        <v>30.08653846153846</v>
      </c>
      <c r="G1323" s="124">
        <v>55</v>
      </c>
      <c r="H1323" s="124">
        <v>55</v>
      </c>
      <c r="I1323" s="124">
        <v>30.518162393162395</v>
      </c>
      <c r="J1323" s="124">
        <v>85.086538461538453</v>
      </c>
      <c r="K1323" s="445">
        <f t="shared" si="48"/>
        <v>-45</v>
      </c>
      <c r="L1323" s="445">
        <f t="shared" si="49"/>
        <v>-69.481837606837601</v>
      </c>
      <c r="M1323" s="445">
        <f t="shared" si="50"/>
        <v>-14.913461538461547</v>
      </c>
    </row>
    <row r="1324" spans="1:13" x14ac:dyDescent="0.3">
      <c r="A1324" s="124" t="s">
        <v>756</v>
      </c>
      <c r="B1324" s="146" t="s">
        <v>1072</v>
      </c>
      <c r="C1324" s="124" t="s">
        <v>1056</v>
      </c>
      <c r="D1324" s="146" t="s">
        <v>1055</v>
      </c>
      <c r="E1324" s="124">
        <v>18.748321123321123</v>
      </c>
      <c r="F1324" s="124">
        <v>28.326465201465201</v>
      </c>
      <c r="G1324" s="124">
        <v>75.625</v>
      </c>
      <c r="H1324" s="124">
        <v>75.625</v>
      </c>
      <c r="I1324" s="124">
        <v>56.876678876678881</v>
      </c>
      <c r="J1324" s="124">
        <v>103.9514652014652</v>
      </c>
      <c r="K1324" s="445">
        <f t="shared" si="48"/>
        <v>-24.375</v>
      </c>
      <c r="L1324" s="445">
        <f t="shared" si="49"/>
        <v>-43.123321123321119</v>
      </c>
      <c r="M1324" s="445">
        <f t="shared" si="50"/>
        <v>3.9514652014651972</v>
      </c>
    </row>
    <row r="1325" spans="1:13" x14ac:dyDescent="0.3">
      <c r="A1325" s="124" t="s">
        <v>756</v>
      </c>
      <c r="B1325" s="146" t="s">
        <v>1072</v>
      </c>
      <c r="C1325" s="146" t="s">
        <v>1057</v>
      </c>
      <c r="D1325" s="124" t="s">
        <v>1055</v>
      </c>
      <c r="E1325" s="146">
        <v>16.450091575091577</v>
      </c>
      <c r="F1325" s="124">
        <v>15.92112332112332</v>
      </c>
      <c r="G1325" s="124">
        <v>86.875</v>
      </c>
      <c r="H1325" s="124">
        <v>86.875</v>
      </c>
      <c r="I1325" s="124">
        <v>70.424908424908423</v>
      </c>
      <c r="J1325" s="124">
        <v>102.79612332112332</v>
      </c>
      <c r="K1325" s="445">
        <f t="shared" si="48"/>
        <v>-13.125</v>
      </c>
      <c r="L1325" s="445">
        <f t="shared" si="49"/>
        <v>-29.575091575091577</v>
      </c>
      <c r="M1325" s="445">
        <f t="shared" si="50"/>
        <v>2.7961233211233179</v>
      </c>
    </row>
    <row r="1326" spans="1:13" x14ac:dyDescent="0.3">
      <c r="A1326" s="124" t="s">
        <v>756</v>
      </c>
      <c r="B1326" s="146" t="s">
        <v>795</v>
      </c>
      <c r="C1326" s="146" t="s">
        <v>1052</v>
      </c>
      <c r="D1326" s="146" t="s">
        <v>1053</v>
      </c>
      <c r="E1326" s="146">
        <v>28.556776556776555</v>
      </c>
      <c r="F1326" s="146">
        <v>34.175824175824175</v>
      </c>
      <c r="G1326" s="146">
        <v>42.142857142857146</v>
      </c>
      <c r="H1326" s="146">
        <v>42.142857142857146</v>
      </c>
      <c r="I1326" s="146">
        <v>13.586080586080591</v>
      </c>
      <c r="J1326" s="146">
        <v>76.318681318681314</v>
      </c>
      <c r="K1326" s="445">
        <f t="shared" si="48"/>
        <v>-57.857142857142854</v>
      </c>
      <c r="L1326" s="445">
        <f t="shared" si="49"/>
        <v>-86.413919413919416</v>
      </c>
      <c r="M1326" s="445">
        <f t="shared" si="50"/>
        <v>-23.681318681318686</v>
      </c>
    </row>
    <row r="1327" spans="1:13" x14ac:dyDescent="0.3">
      <c r="A1327" s="124" t="s">
        <v>756</v>
      </c>
      <c r="B1327" s="146" t="s">
        <v>795</v>
      </c>
      <c r="C1327" s="146" t="s">
        <v>1056</v>
      </c>
      <c r="D1327" s="146" t="s">
        <v>1053</v>
      </c>
      <c r="E1327" s="146">
        <v>16.3432757718472</v>
      </c>
      <c r="F1327" s="146">
        <v>15.903715332286762</v>
      </c>
      <c r="G1327" s="146">
        <v>82.857142857142861</v>
      </c>
      <c r="H1327" s="146">
        <v>82.857142857142861</v>
      </c>
      <c r="I1327" s="146">
        <v>66.513867085295658</v>
      </c>
      <c r="J1327" s="146">
        <v>98.760858189429626</v>
      </c>
      <c r="K1327" s="445">
        <f t="shared" si="48"/>
        <v>-17.142857142857139</v>
      </c>
      <c r="L1327" s="445">
        <f t="shared" si="49"/>
        <v>-33.486132914704342</v>
      </c>
      <c r="M1327" s="445">
        <f t="shared" si="50"/>
        <v>-1.2391418105703735</v>
      </c>
    </row>
    <row r="1328" spans="1:13" x14ac:dyDescent="0.3">
      <c r="A1328" s="124" t="s">
        <v>756</v>
      </c>
      <c r="B1328" s="146" t="s">
        <v>795</v>
      </c>
      <c r="C1328" s="146" t="s">
        <v>1057</v>
      </c>
      <c r="D1328" s="146" t="s">
        <v>1053</v>
      </c>
      <c r="E1328" s="146">
        <v>0</v>
      </c>
      <c r="F1328" s="146">
        <v>0</v>
      </c>
      <c r="G1328" s="146">
        <v>100</v>
      </c>
      <c r="H1328" s="146">
        <v>100</v>
      </c>
      <c r="I1328" s="146">
        <v>100</v>
      </c>
      <c r="J1328" s="146">
        <v>100</v>
      </c>
      <c r="K1328" s="445">
        <f t="shared" si="48"/>
        <v>0</v>
      </c>
      <c r="L1328" s="445">
        <f t="shared" si="49"/>
        <v>0</v>
      </c>
      <c r="M1328" s="445">
        <f t="shared" si="50"/>
        <v>0</v>
      </c>
    </row>
    <row r="1329" spans="1:13" x14ac:dyDescent="0.3">
      <c r="A1329" s="124" t="s">
        <v>756</v>
      </c>
      <c r="B1329" s="146" t="s">
        <v>795</v>
      </c>
      <c r="C1329" s="146" t="s">
        <v>1052</v>
      </c>
      <c r="D1329" s="146" t="s">
        <v>1054</v>
      </c>
      <c r="E1329" s="124">
        <v>27.58241758241758</v>
      </c>
      <c r="F1329" s="124">
        <v>38.205128205128197</v>
      </c>
      <c r="G1329" s="124">
        <v>40.714285714285715</v>
      </c>
      <c r="H1329" s="124">
        <v>40.714285714285715</v>
      </c>
      <c r="I1329" s="124">
        <v>13.131868131868135</v>
      </c>
      <c r="J1329" s="124">
        <v>78.919413919413913</v>
      </c>
      <c r="K1329" s="445">
        <f t="shared" si="48"/>
        <v>-59.285714285714285</v>
      </c>
      <c r="L1329" s="445">
        <f t="shared" si="49"/>
        <v>-86.868131868131869</v>
      </c>
      <c r="M1329" s="445">
        <f t="shared" si="50"/>
        <v>-21.080586080586087</v>
      </c>
    </row>
    <row r="1330" spans="1:13" x14ac:dyDescent="0.3">
      <c r="A1330" s="124" t="s">
        <v>756</v>
      </c>
      <c r="B1330" s="146" t="s">
        <v>795</v>
      </c>
      <c r="C1330" s="124" t="s">
        <v>1056</v>
      </c>
      <c r="D1330" s="124" t="s">
        <v>1054</v>
      </c>
      <c r="E1330" s="124">
        <v>19.569335426478283</v>
      </c>
      <c r="F1330" s="124">
        <v>11.633699633699633</v>
      </c>
      <c r="G1330" s="124">
        <v>86.428571428571431</v>
      </c>
      <c r="H1330" s="124">
        <v>86.428571428571431</v>
      </c>
      <c r="I1330" s="124">
        <v>66.859236002093155</v>
      </c>
      <c r="J1330" s="124">
        <v>98.062271062271066</v>
      </c>
      <c r="K1330" s="445">
        <f t="shared" si="48"/>
        <v>-13.571428571428569</v>
      </c>
      <c r="L1330" s="445">
        <f t="shared" si="49"/>
        <v>-33.140763997906845</v>
      </c>
      <c r="M1330" s="445">
        <f t="shared" si="50"/>
        <v>-1.9377289377289344</v>
      </c>
    </row>
    <row r="1331" spans="1:13" x14ac:dyDescent="0.3">
      <c r="A1331" s="124" t="s">
        <v>756</v>
      </c>
      <c r="B1331" s="146" t="s">
        <v>795</v>
      </c>
      <c r="C1331" s="124" t="s">
        <v>1057</v>
      </c>
      <c r="D1331" s="146" t="s">
        <v>1054</v>
      </c>
      <c r="E1331" s="124">
        <v>9.560076662243846</v>
      </c>
      <c r="F1331" s="124">
        <v>8.1886480908152741</v>
      </c>
      <c r="G1331" s="124">
        <v>100</v>
      </c>
      <c r="H1331" s="124">
        <v>100</v>
      </c>
      <c r="I1331" s="124">
        <v>90.439923337756156</v>
      </c>
      <c r="J1331" s="124">
        <v>108.18864809081528</v>
      </c>
      <c r="K1331" s="445">
        <f t="shared" si="48"/>
        <v>0</v>
      </c>
      <c r="L1331" s="445">
        <f t="shared" si="49"/>
        <v>-9.5600766622438442</v>
      </c>
      <c r="M1331" s="445">
        <f t="shared" si="50"/>
        <v>8.1886480908152777</v>
      </c>
    </row>
    <row r="1332" spans="1:13" x14ac:dyDescent="0.3">
      <c r="A1332" s="124" t="s">
        <v>756</v>
      </c>
      <c r="B1332" s="146" t="s">
        <v>795</v>
      </c>
      <c r="C1332" s="146" t="s">
        <v>1052</v>
      </c>
      <c r="D1332" s="146" t="s">
        <v>1055</v>
      </c>
      <c r="E1332" s="124">
        <v>34.26373626373627</v>
      </c>
      <c r="F1332" s="124">
        <v>36.88644688644689</v>
      </c>
      <c r="G1332" s="124">
        <v>55.714285714285715</v>
      </c>
      <c r="H1332" s="124">
        <v>55.714285714285715</v>
      </c>
      <c r="I1332" s="124">
        <v>21.450549450549445</v>
      </c>
      <c r="J1332" s="124">
        <v>92.600732600732613</v>
      </c>
      <c r="K1332" s="445">
        <f t="shared" si="48"/>
        <v>-44.285714285714285</v>
      </c>
      <c r="L1332" s="445">
        <f t="shared" si="49"/>
        <v>-78.549450549450555</v>
      </c>
      <c r="M1332" s="445">
        <f t="shared" si="50"/>
        <v>-7.3992673992673872</v>
      </c>
    </row>
    <row r="1333" spans="1:13" x14ac:dyDescent="0.3">
      <c r="A1333" s="124" t="s">
        <v>756</v>
      </c>
      <c r="B1333" s="146" t="s">
        <v>795</v>
      </c>
      <c r="C1333" s="146" t="s">
        <v>1056</v>
      </c>
      <c r="D1333" s="146" t="s">
        <v>1055</v>
      </c>
      <c r="E1333" s="146">
        <v>23.665620094191521</v>
      </c>
      <c r="F1333" s="124">
        <v>12.087912087912088</v>
      </c>
      <c r="G1333" s="124">
        <v>96.428571428571431</v>
      </c>
      <c r="H1333" s="124">
        <v>96.428571428571431</v>
      </c>
      <c r="I1333" s="124">
        <v>72.762951334379906</v>
      </c>
      <c r="J1333" s="124">
        <v>108.51648351648352</v>
      </c>
      <c r="K1333" s="445">
        <f t="shared" si="48"/>
        <v>-3.5714285714285694</v>
      </c>
      <c r="L1333" s="445">
        <f t="shared" si="49"/>
        <v>-27.237048665620094</v>
      </c>
      <c r="M1333" s="445">
        <f t="shared" si="50"/>
        <v>8.5164835164835182</v>
      </c>
    </row>
    <row r="1334" spans="1:13" ht="15" thickBot="1" x14ac:dyDescent="0.35">
      <c r="A1334" s="124" t="s">
        <v>756</v>
      </c>
      <c r="B1334" s="146" t="s">
        <v>795</v>
      </c>
      <c r="C1334" s="146" t="s">
        <v>1057</v>
      </c>
      <c r="D1334" s="146" t="s">
        <v>1055</v>
      </c>
      <c r="E1334" s="146">
        <v>15.017736649315596</v>
      </c>
      <c r="F1334" s="146">
        <v>14.354732986311932</v>
      </c>
      <c r="G1334" s="146">
        <v>98.571428571428569</v>
      </c>
      <c r="H1334" s="146">
        <v>98.571428571428569</v>
      </c>
      <c r="I1334" s="146">
        <v>83.553691922112975</v>
      </c>
      <c r="J1334" s="146">
        <v>112.9261615577405</v>
      </c>
      <c r="K1334" s="445">
        <f t="shared" si="48"/>
        <v>-1.4285714285714306</v>
      </c>
      <c r="L1334" s="445">
        <f t="shared" si="49"/>
        <v>-16.446308077887025</v>
      </c>
      <c r="M1334" s="445">
        <f t="shared" si="50"/>
        <v>12.9261615577405</v>
      </c>
    </row>
    <row r="1335" spans="1:13" x14ac:dyDescent="0.3">
      <c r="A1335" s="124" t="s">
        <v>1080</v>
      </c>
      <c r="B1335" s="292" t="s">
        <v>91</v>
      </c>
      <c r="C1335" s="292" t="s">
        <v>1052</v>
      </c>
      <c r="D1335" s="293" t="s">
        <v>1053</v>
      </c>
      <c r="E1335" s="292">
        <v>12.01920768307323</v>
      </c>
      <c r="F1335" s="293">
        <v>14.491663331999467</v>
      </c>
      <c r="G1335" s="293">
        <v>75</v>
      </c>
      <c r="H1335" s="293">
        <v>75</v>
      </c>
      <c r="I1335" s="293">
        <v>62.980792316926767</v>
      </c>
      <c r="J1335" s="293">
        <v>89.491663331999462</v>
      </c>
      <c r="K1335" s="445">
        <f t="shared" si="48"/>
        <v>-25</v>
      </c>
      <c r="L1335" s="445">
        <f t="shared" si="49"/>
        <v>-37.019207683073233</v>
      </c>
      <c r="M1335" s="445">
        <f t="shared" si="50"/>
        <v>-10.508336668000538</v>
      </c>
    </row>
    <row r="1336" spans="1:13" x14ac:dyDescent="0.3">
      <c r="A1336" s="124" t="s">
        <v>1080</v>
      </c>
      <c r="B1336" s="207" t="s">
        <v>91</v>
      </c>
      <c r="C1336" s="207" t="s">
        <v>1056</v>
      </c>
      <c r="D1336" s="124" t="s">
        <v>1053</v>
      </c>
      <c r="E1336" s="207">
        <v>17.697745764972655</v>
      </c>
      <c r="F1336" s="124">
        <v>8.6071762038148592</v>
      </c>
      <c r="G1336" s="124">
        <v>86.428571428571431</v>
      </c>
      <c r="H1336" s="124">
        <v>86.428571428571431</v>
      </c>
      <c r="I1336" s="124">
        <v>68.730825663598779</v>
      </c>
      <c r="J1336" s="124">
        <v>95.03574763238629</v>
      </c>
      <c r="K1336" s="445">
        <f t="shared" si="48"/>
        <v>-13.571428571428569</v>
      </c>
      <c r="L1336" s="445">
        <f t="shared" si="49"/>
        <v>-31.269174336401221</v>
      </c>
      <c r="M1336" s="445">
        <f t="shared" si="50"/>
        <v>-4.9642523676137102</v>
      </c>
    </row>
    <row r="1337" spans="1:13" x14ac:dyDescent="0.3">
      <c r="A1337" s="124" t="s">
        <v>1080</v>
      </c>
      <c r="B1337" s="207" t="s">
        <v>91</v>
      </c>
      <c r="C1337" s="207" t="s">
        <v>1057</v>
      </c>
      <c r="D1337" s="146" t="s">
        <v>1053</v>
      </c>
      <c r="E1337" s="207">
        <v>0</v>
      </c>
      <c r="F1337" s="146">
        <v>0</v>
      </c>
      <c r="G1337" s="146">
        <v>100</v>
      </c>
      <c r="H1337" s="146">
        <v>100</v>
      </c>
      <c r="I1337" s="146">
        <v>100</v>
      </c>
      <c r="J1337" s="146">
        <v>100</v>
      </c>
      <c r="K1337" s="445">
        <f t="shared" si="48"/>
        <v>0</v>
      </c>
      <c r="L1337" s="445">
        <f t="shared" si="49"/>
        <v>0</v>
      </c>
      <c r="M1337" s="445">
        <f t="shared" si="50"/>
        <v>0</v>
      </c>
    </row>
    <row r="1338" spans="1:13" x14ac:dyDescent="0.3">
      <c r="A1338" s="124" t="s">
        <v>1080</v>
      </c>
      <c r="B1338" s="207" t="s">
        <v>91</v>
      </c>
      <c r="C1338" s="207" t="s">
        <v>1052</v>
      </c>
      <c r="D1338" s="146" t="s">
        <v>1054</v>
      </c>
      <c r="E1338" s="207">
        <v>13.234893957583035</v>
      </c>
      <c r="F1338" s="146">
        <v>17.94264372415633</v>
      </c>
      <c r="G1338" s="146">
        <v>71.142857142857139</v>
      </c>
      <c r="H1338" s="146">
        <v>71.142857142857139</v>
      </c>
      <c r="I1338" s="146">
        <v>57.907963185274106</v>
      </c>
      <c r="J1338" s="146">
        <v>89.085500867013465</v>
      </c>
      <c r="K1338" s="445">
        <f t="shared" si="48"/>
        <v>-28.857142857142861</v>
      </c>
      <c r="L1338" s="445">
        <f t="shared" si="49"/>
        <v>-42.092036814725894</v>
      </c>
      <c r="M1338" s="445">
        <f t="shared" si="50"/>
        <v>-10.914499132986535</v>
      </c>
    </row>
    <row r="1339" spans="1:13" x14ac:dyDescent="0.3">
      <c r="A1339" s="124" t="s">
        <v>1080</v>
      </c>
      <c r="B1339" s="207" t="s">
        <v>91</v>
      </c>
      <c r="C1339" s="207" t="s">
        <v>1056</v>
      </c>
      <c r="D1339" s="124" t="s">
        <v>1054</v>
      </c>
      <c r="E1339" s="207">
        <v>16.432573029211685</v>
      </c>
      <c r="F1339" s="124">
        <v>8.8275310124049629</v>
      </c>
      <c r="G1339" s="124">
        <v>82.714285714285708</v>
      </c>
      <c r="H1339" s="124">
        <v>82.714285714285708</v>
      </c>
      <c r="I1339" s="124">
        <v>66.281712685074027</v>
      </c>
      <c r="J1339" s="124">
        <v>91.541816726690669</v>
      </c>
      <c r="K1339" s="445">
        <f t="shared" si="48"/>
        <v>-17.285714285714292</v>
      </c>
      <c r="L1339" s="445">
        <f t="shared" si="49"/>
        <v>-33.718287314925973</v>
      </c>
      <c r="M1339" s="445">
        <f t="shared" si="50"/>
        <v>-8.4581832733093307</v>
      </c>
    </row>
    <row r="1340" spans="1:13" x14ac:dyDescent="0.3">
      <c r="A1340" s="124" t="s">
        <v>1080</v>
      </c>
      <c r="B1340" s="207" t="s">
        <v>91</v>
      </c>
      <c r="C1340" s="207" t="s">
        <v>1057</v>
      </c>
      <c r="D1340" s="146" t="s">
        <v>1054</v>
      </c>
      <c r="E1340" s="207">
        <v>10.98185941043084</v>
      </c>
      <c r="F1340" s="146">
        <v>3.5464852607709751</v>
      </c>
      <c r="G1340" s="146">
        <v>97.571428571428569</v>
      </c>
      <c r="H1340" s="146">
        <v>97.571428571428569</v>
      </c>
      <c r="I1340" s="146">
        <v>86.589569160997726</v>
      </c>
      <c r="J1340" s="146">
        <v>101.11791383219955</v>
      </c>
      <c r="K1340" s="445">
        <f t="shared" si="48"/>
        <v>-2.4285714285714306</v>
      </c>
      <c r="L1340" s="445">
        <f t="shared" si="49"/>
        <v>-13.410430839002274</v>
      </c>
      <c r="M1340" s="445">
        <f t="shared" si="50"/>
        <v>1.1179138321995481</v>
      </c>
    </row>
    <row r="1341" spans="1:13" x14ac:dyDescent="0.3">
      <c r="A1341" s="124" t="s">
        <v>1080</v>
      </c>
      <c r="B1341" s="207" t="s">
        <v>91</v>
      </c>
      <c r="C1341" s="207" t="s">
        <v>1052</v>
      </c>
      <c r="D1341" s="124" t="s">
        <v>1055</v>
      </c>
      <c r="E1341" s="207">
        <v>13.72642390289449</v>
      </c>
      <c r="F1341" s="124">
        <v>8.4453781512605026</v>
      </c>
      <c r="G1341" s="124">
        <v>85</v>
      </c>
      <c r="H1341" s="124">
        <v>85</v>
      </c>
      <c r="I1341" s="124">
        <v>71.273576097105504</v>
      </c>
      <c r="J1341" s="124">
        <v>93.445378151260499</v>
      </c>
      <c r="K1341" s="445">
        <f t="shared" si="48"/>
        <v>-15</v>
      </c>
      <c r="L1341" s="445">
        <f t="shared" si="49"/>
        <v>-28.726423902894496</v>
      </c>
      <c r="M1341" s="445">
        <f t="shared" si="50"/>
        <v>-6.5546218487395009</v>
      </c>
    </row>
    <row r="1342" spans="1:13" x14ac:dyDescent="0.3">
      <c r="A1342" s="124" t="s">
        <v>1080</v>
      </c>
      <c r="B1342" s="207" t="s">
        <v>91</v>
      </c>
      <c r="C1342" s="207" t="s">
        <v>1056</v>
      </c>
      <c r="D1342" s="146" t="s">
        <v>1055</v>
      </c>
      <c r="E1342" s="207">
        <v>12.922368947579031</v>
      </c>
      <c r="F1342" s="146">
        <v>7.3681472589035613</v>
      </c>
      <c r="G1342" s="146">
        <v>90</v>
      </c>
      <c r="H1342" s="146">
        <v>90</v>
      </c>
      <c r="I1342" s="146">
        <v>77.077631052420969</v>
      </c>
      <c r="J1342" s="146">
        <v>97.368147258903562</v>
      </c>
      <c r="K1342" s="445">
        <f t="shared" si="48"/>
        <v>-10</v>
      </c>
      <c r="L1342" s="445">
        <f t="shared" si="49"/>
        <v>-22.922368947579031</v>
      </c>
      <c r="M1342" s="445">
        <f t="shared" si="50"/>
        <v>-2.6318527410964379</v>
      </c>
    </row>
    <row r="1343" spans="1:13" ht="15" thickBot="1" x14ac:dyDescent="0.35">
      <c r="A1343" s="124" t="s">
        <v>1080</v>
      </c>
      <c r="B1343" s="629" t="s">
        <v>91</v>
      </c>
      <c r="C1343" s="629" t="s">
        <v>1057</v>
      </c>
      <c r="D1343" s="577" t="s">
        <v>1055</v>
      </c>
      <c r="E1343" s="629">
        <v>12.476190476190476</v>
      </c>
      <c r="F1343" s="577">
        <v>6.095238095238094</v>
      </c>
      <c r="G1343" s="577">
        <v>94.571428571428569</v>
      </c>
      <c r="H1343" s="577">
        <v>94.571428571428569</v>
      </c>
      <c r="I1343" s="577">
        <v>82.095238095238088</v>
      </c>
      <c r="J1343" s="577">
        <v>100.66666666666666</v>
      </c>
      <c r="K1343" s="445">
        <f t="shared" ref="K1343:K1406" si="51">0-(100-H1343)</f>
        <v>-5.4285714285714306</v>
      </c>
      <c r="L1343" s="445">
        <f t="shared" ref="L1343:L1406" si="52">0-(100-I1343)</f>
        <v>-17.904761904761912</v>
      </c>
      <c r="M1343" s="445">
        <f t="shared" ref="M1343:M1406" si="53">0-(100-J1343)</f>
        <v>0.66666666666665719</v>
      </c>
    </row>
    <row r="1344" spans="1:13" x14ac:dyDescent="0.3">
      <c r="A1344" s="124" t="s">
        <v>1080</v>
      </c>
      <c r="B1344" s="292" t="s">
        <v>94</v>
      </c>
      <c r="C1344" s="292" t="s">
        <v>1052</v>
      </c>
      <c r="D1344" s="293" t="s">
        <v>1053</v>
      </c>
      <c r="E1344" s="292">
        <v>19.377084167000131</v>
      </c>
      <c r="F1344" s="293">
        <v>13.09390422835801</v>
      </c>
      <c r="G1344" s="293">
        <v>76.428571428571431</v>
      </c>
      <c r="H1344" s="293">
        <v>76.428571428571431</v>
      </c>
      <c r="I1344" s="293">
        <v>57.051487261571296</v>
      </c>
      <c r="J1344" s="293">
        <v>89.522475656929444</v>
      </c>
      <c r="K1344" s="445">
        <f t="shared" si="51"/>
        <v>-23.571428571428569</v>
      </c>
      <c r="L1344" s="445">
        <f t="shared" si="52"/>
        <v>-42.948512738428704</v>
      </c>
      <c r="M1344" s="445">
        <f t="shared" si="53"/>
        <v>-10.477524343070556</v>
      </c>
    </row>
    <row r="1345" spans="1:13" x14ac:dyDescent="0.3">
      <c r="A1345" s="124" t="s">
        <v>1080</v>
      </c>
      <c r="B1345" s="207" t="s">
        <v>94</v>
      </c>
      <c r="C1345" s="207" t="s">
        <v>1056</v>
      </c>
      <c r="D1345" s="146" t="s">
        <v>1053</v>
      </c>
      <c r="E1345" s="207">
        <v>17.332933173269307</v>
      </c>
      <c r="F1345" s="146">
        <v>6.1244497799119646</v>
      </c>
      <c r="G1345" s="146">
        <v>90</v>
      </c>
      <c r="H1345" s="146">
        <v>90</v>
      </c>
      <c r="I1345" s="146">
        <v>72.667066826730689</v>
      </c>
      <c r="J1345" s="146">
        <v>96.12444977991197</v>
      </c>
      <c r="K1345" s="445">
        <f t="shared" si="51"/>
        <v>-10</v>
      </c>
      <c r="L1345" s="445">
        <f t="shared" si="52"/>
        <v>-27.332933173269311</v>
      </c>
      <c r="M1345" s="445">
        <f t="shared" si="53"/>
        <v>-3.8755502200880301</v>
      </c>
    </row>
    <row r="1346" spans="1:13" x14ac:dyDescent="0.3">
      <c r="A1346" s="124" t="s">
        <v>1080</v>
      </c>
      <c r="B1346" s="207" t="s">
        <v>94</v>
      </c>
      <c r="C1346" s="207" t="s">
        <v>1057</v>
      </c>
      <c r="D1346" s="124" t="s">
        <v>1053</v>
      </c>
      <c r="E1346" s="207">
        <v>0</v>
      </c>
      <c r="F1346" s="124">
        <v>0</v>
      </c>
      <c r="G1346" s="124">
        <v>100</v>
      </c>
      <c r="H1346" s="124">
        <v>100</v>
      </c>
      <c r="I1346" s="124">
        <v>100</v>
      </c>
      <c r="J1346" s="124">
        <v>100</v>
      </c>
      <c r="K1346" s="445">
        <f t="shared" si="51"/>
        <v>0</v>
      </c>
      <c r="L1346" s="445">
        <f t="shared" si="52"/>
        <v>0</v>
      </c>
      <c r="M1346" s="445">
        <f t="shared" si="53"/>
        <v>0</v>
      </c>
    </row>
    <row r="1347" spans="1:13" x14ac:dyDescent="0.3">
      <c r="A1347" s="124" t="s">
        <v>1080</v>
      </c>
      <c r="B1347" s="207" t="s">
        <v>94</v>
      </c>
      <c r="C1347" s="207" t="s">
        <v>1052</v>
      </c>
      <c r="D1347" s="124" t="s">
        <v>1054</v>
      </c>
      <c r="E1347" s="207">
        <v>18.466720021341871</v>
      </c>
      <c r="F1347" s="124">
        <v>19.004268374016274</v>
      </c>
      <c r="G1347" s="124">
        <v>70.714285714285708</v>
      </c>
      <c r="H1347" s="124">
        <v>70.714285714285708</v>
      </c>
      <c r="I1347" s="124">
        <v>52.247565692943837</v>
      </c>
      <c r="J1347" s="124">
        <v>89.718554088301985</v>
      </c>
      <c r="K1347" s="445">
        <f t="shared" si="51"/>
        <v>-29.285714285714292</v>
      </c>
      <c r="L1347" s="445">
        <f t="shared" si="52"/>
        <v>-47.752434307056163</v>
      </c>
      <c r="M1347" s="445">
        <f t="shared" si="53"/>
        <v>-10.281445911698015</v>
      </c>
    </row>
    <row r="1348" spans="1:13" x14ac:dyDescent="0.3">
      <c r="A1348" s="124" t="s">
        <v>1080</v>
      </c>
      <c r="B1348" s="207" t="s">
        <v>94</v>
      </c>
      <c r="C1348" s="207" t="s">
        <v>1056</v>
      </c>
      <c r="D1348" s="124" t="s">
        <v>1054</v>
      </c>
      <c r="E1348" s="207">
        <v>15.845538215286114</v>
      </c>
      <c r="F1348" s="124">
        <v>13.707082833133255</v>
      </c>
      <c r="G1348" s="124">
        <v>83.142857142857139</v>
      </c>
      <c r="H1348" s="124">
        <v>83.142857142857139</v>
      </c>
      <c r="I1348" s="124">
        <v>67.297318927571027</v>
      </c>
      <c r="J1348" s="124">
        <v>96.849939975990395</v>
      </c>
      <c r="K1348" s="445">
        <f t="shared" si="51"/>
        <v>-16.857142857142861</v>
      </c>
      <c r="L1348" s="445">
        <f t="shared" si="52"/>
        <v>-32.702681072428973</v>
      </c>
      <c r="M1348" s="445">
        <f t="shared" si="53"/>
        <v>-3.1500600240096048</v>
      </c>
    </row>
    <row r="1349" spans="1:13" x14ac:dyDescent="0.3">
      <c r="A1349" s="124" t="s">
        <v>1080</v>
      </c>
      <c r="B1349" s="207" t="s">
        <v>94</v>
      </c>
      <c r="C1349" s="207" t="s">
        <v>1057</v>
      </c>
      <c r="D1349" s="146" t="s">
        <v>1054</v>
      </c>
      <c r="E1349" s="207">
        <v>11.793517406962787</v>
      </c>
      <c r="F1349" s="146">
        <v>8.699479791916767</v>
      </c>
      <c r="G1349" s="146">
        <v>95</v>
      </c>
      <c r="H1349" s="146">
        <v>95</v>
      </c>
      <c r="I1349" s="146">
        <v>83.206482593037208</v>
      </c>
      <c r="J1349" s="146">
        <v>103.69947979191677</v>
      </c>
      <c r="K1349" s="445">
        <f t="shared" si="51"/>
        <v>-5</v>
      </c>
      <c r="L1349" s="445">
        <f t="shared" si="52"/>
        <v>-16.793517406962792</v>
      </c>
      <c r="M1349" s="445">
        <f t="shared" si="53"/>
        <v>3.6994797919167723</v>
      </c>
    </row>
    <row r="1350" spans="1:13" x14ac:dyDescent="0.3">
      <c r="A1350" s="124" t="s">
        <v>1080</v>
      </c>
      <c r="B1350" s="207" t="s">
        <v>94</v>
      </c>
      <c r="C1350" s="207" t="s">
        <v>1052</v>
      </c>
      <c r="D1350" s="124" t="s">
        <v>1055</v>
      </c>
      <c r="E1350" s="207">
        <v>18.106042416966783</v>
      </c>
      <c r="F1350" s="124">
        <v>10.713885554221688</v>
      </c>
      <c r="G1350" s="124">
        <v>84.285714285714292</v>
      </c>
      <c r="H1350" s="124">
        <v>84.285714285714292</v>
      </c>
      <c r="I1350" s="124">
        <v>66.179671868747505</v>
      </c>
      <c r="J1350" s="124">
        <v>94.999599839935982</v>
      </c>
      <c r="K1350" s="445">
        <f t="shared" si="51"/>
        <v>-15.714285714285708</v>
      </c>
      <c r="L1350" s="445">
        <f t="shared" si="52"/>
        <v>-33.820328131252495</v>
      </c>
      <c r="M1350" s="445">
        <f t="shared" si="53"/>
        <v>-5.000400160064018</v>
      </c>
    </row>
    <row r="1351" spans="1:13" x14ac:dyDescent="0.3">
      <c r="A1351" s="124" t="s">
        <v>1080</v>
      </c>
      <c r="B1351" s="207" t="s">
        <v>94</v>
      </c>
      <c r="C1351" s="207" t="s">
        <v>1056</v>
      </c>
      <c r="D1351" s="124" t="s">
        <v>1055</v>
      </c>
      <c r="E1351" s="207">
        <v>15.856742697078829</v>
      </c>
      <c r="F1351" s="124">
        <v>10.149259703881551</v>
      </c>
      <c r="G1351" s="124">
        <v>89.285714285714292</v>
      </c>
      <c r="H1351" s="124">
        <v>89.285714285714292</v>
      </c>
      <c r="I1351" s="124">
        <v>73.428971588635463</v>
      </c>
      <c r="J1351" s="124">
        <v>99.434973989595846</v>
      </c>
      <c r="K1351" s="445">
        <f t="shared" si="51"/>
        <v>-10.714285714285708</v>
      </c>
      <c r="L1351" s="445">
        <f t="shared" si="52"/>
        <v>-26.571028411364537</v>
      </c>
      <c r="M1351" s="445">
        <f t="shared" si="53"/>
        <v>-0.56502601040415357</v>
      </c>
    </row>
    <row r="1352" spans="1:13" ht="15" thickBot="1" x14ac:dyDescent="0.35">
      <c r="A1352" s="124" t="s">
        <v>1080</v>
      </c>
      <c r="B1352" s="629" t="s">
        <v>94</v>
      </c>
      <c r="C1352" s="629" t="s">
        <v>1057</v>
      </c>
      <c r="D1352" s="577" t="s">
        <v>1055</v>
      </c>
      <c r="E1352" s="629">
        <v>14.298919567827127</v>
      </c>
      <c r="F1352" s="577">
        <v>7.188342003468053</v>
      </c>
      <c r="G1352" s="577">
        <v>93.285714285714292</v>
      </c>
      <c r="H1352" s="577">
        <v>93.285714285714292</v>
      </c>
      <c r="I1352" s="577">
        <v>78.986794717887165</v>
      </c>
      <c r="J1352" s="577">
        <v>100.47405628918234</v>
      </c>
      <c r="K1352" s="445">
        <f t="shared" si="51"/>
        <v>-6.7142857142857082</v>
      </c>
      <c r="L1352" s="445">
        <f t="shared" si="52"/>
        <v>-21.013205282112835</v>
      </c>
      <c r="M1352" s="445">
        <f t="shared" si="53"/>
        <v>0.47405628918234299</v>
      </c>
    </row>
    <row r="1353" spans="1:13" x14ac:dyDescent="0.3">
      <c r="A1353" s="124" t="s">
        <v>1080</v>
      </c>
      <c r="B1353" s="292" t="s">
        <v>97</v>
      </c>
      <c r="C1353" s="292" t="s">
        <v>1052</v>
      </c>
      <c r="D1353" s="293" t="s">
        <v>1053</v>
      </c>
      <c r="E1353" s="292">
        <v>13.631052420968386</v>
      </c>
      <c r="F1353" s="293">
        <v>17.059623849539815</v>
      </c>
      <c r="G1353" s="293">
        <v>54.285714285714285</v>
      </c>
      <c r="H1353" s="293">
        <v>54.285714285714285</v>
      </c>
      <c r="I1353" s="293">
        <v>40.654661864745897</v>
      </c>
      <c r="J1353" s="293">
        <v>71.345338135254096</v>
      </c>
      <c r="K1353" s="445">
        <f t="shared" si="51"/>
        <v>-45.714285714285715</v>
      </c>
      <c r="L1353" s="445">
        <f t="shared" si="52"/>
        <v>-59.345338135254103</v>
      </c>
      <c r="M1353" s="445">
        <f t="shared" si="53"/>
        <v>-28.654661864745904</v>
      </c>
    </row>
    <row r="1354" spans="1:13" x14ac:dyDescent="0.3">
      <c r="A1354" s="124" t="s">
        <v>1080</v>
      </c>
      <c r="B1354" s="207" t="s">
        <v>97</v>
      </c>
      <c r="C1354" s="207" t="s">
        <v>1056</v>
      </c>
      <c r="D1354" s="146" t="s">
        <v>1053</v>
      </c>
      <c r="E1354" s="207">
        <v>16.036014405762305</v>
      </c>
      <c r="F1354" s="146">
        <v>12.881952781112446</v>
      </c>
      <c r="G1354" s="146">
        <v>78.571428571428569</v>
      </c>
      <c r="H1354" s="146">
        <v>78.571428571428569</v>
      </c>
      <c r="I1354" s="146">
        <v>62.535414165666268</v>
      </c>
      <c r="J1354" s="146">
        <v>91.453381352541015</v>
      </c>
      <c r="K1354" s="445">
        <f t="shared" si="51"/>
        <v>-21.428571428571431</v>
      </c>
      <c r="L1354" s="445">
        <f t="shared" si="52"/>
        <v>-37.464585834333732</v>
      </c>
      <c r="M1354" s="445">
        <f t="shared" si="53"/>
        <v>-8.5466186474589847</v>
      </c>
    </row>
    <row r="1355" spans="1:13" x14ac:dyDescent="0.3">
      <c r="A1355" s="124" t="s">
        <v>1080</v>
      </c>
      <c r="B1355" s="207" t="s">
        <v>97</v>
      </c>
      <c r="C1355" s="207" t="s">
        <v>1057</v>
      </c>
      <c r="D1355" s="124" t="s">
        <v>1053</v>
      </c>
      <c r="E1355" s="207">
        <v>0</v>
      </c>
      <c r="F1355" s="124">
        <v>0</v>
      </c>
      <c r="G1355" s="124">
        <v>100</v>
      </c>
      <c r="H1355" s="124">
        <v>100</v>
      </c>
      <c r="I1355" s="124">
        <v>100</v>
      </c>
      <c r="J1355" s="124">
        <v>100</v>
      </c>
      <c r="K1355" s="445">
        <f t="shared" si="51"/>
        <v>0</v>
      </c>
      <c r="L1355" s="445">
        <f t="shared" si="52"/>
        <v>0</v>
      </c>
      <c r="M1355" s="445">
        <f t="shared" si="53"/>
        <v>0</v>
      </c>
    </row>
    <row r="1356" spans="1:13" x14ac:dyDescent="0.3">
      <c r="A1356" s="124" t="s">
        <v>1080</v>
      </c>
      <c r="B1356" s="207" t="s">
        <v>97</v>
      </c>
      <c r="C1356" s="207" t="s">
        <v>1052</v>
      </c>
      <c r="D1356" s="146" t="s">
        <v>1054</v>
      </c>
      <c r="E1356" s="207">
        <v>17.010804321728692</v>
      </c>
      <c r="F1356" s="146">
        <v>23.489395758303321</v>
      </c>
      <c r="G1356" s="146">
        <v>42.142857142857146</v>
      </c>
      <c r="H1356" s="146">
        <v>42.142857142857146</v>
      </c>
      <c r="I1356" s="146">
        <v>25.132052821128454</v>
      </c>
      <c r="J1356" s="146">
        <v>65.63225290116047</v>
      </c>
      <c r="K1356" s="445">
        <f t="shared" si="51"/>
        <v>-57.857142857142854</v>
      </c>
      <c r="L1356" s="445">
        <f t="shared" si="52"/>
        <v>-74.867947178871546</v>
      </c>
      <c r="M1356" s="445">
        <f t="shared" si="53"/>
        <v>-34.36774709883953</v>
      </c>
    </row>
    <row r="1357" spans="1:13" x14ac:dyDescent="0.3">
      <c r="A1357" s="124" t="s">
        <v>1080</v>
      </c>
      <c r="B1357" s="207" t="s">
        <v>97</v>
      </c>
      <c r="C1357" s="207" t="s">
        <v>1056</v>
      </c>
      <c r="D1357" s="124" t="s">
        <v>1054</v>
      </c>
      <c r="E1357" s="207">
        <v>15.607289069473945</v>
      </c>
      <c r="F1357" s="124">
        <v>15.853849232000494</v>
      </c>
      <c r="G1357" s="124">
        <v>70.714285714285708</v>
      </c>
      <c r="H1357" s="124">
        <v>70.714285714285708</v>
      </c>
      <c r="I1357" s="124">
        <v>55.106996644811765</v>
      </c>
      <c r="J1357" s="124">
        <v>86.568134946286207</v>
      </c>
      <c r="K1357" s="445">
        <f t="shared" si="51"/>
        <v>-29.285714285714292</v>
      </c>
      <c r="L1357" s="445">
        <f t="shared" si="52"/>
        <v>-44.893003355188235</v>
      </c>
      <c r="M1357" s="445">
        <f t="shared" si="53"/>
        <v>-13.431865053713793</v>
      </c>
    </row>
    <row r="1358" spans="1:13" x14ac:dyDescent="0.3">
      <c r="A1358" s="124" t="s">
        <v>1080</v>
      </c>
      <c r="B1358" s="207" t="s">
        <v>97</v>
      </c>
      <c r="C1358" s="207" t="s">
        <v>1057</v>
      </c>
      <c r="D1358" s="124" t="s">
        <v>1054</v>
      </c>
      <c r="E1358" s="207">
        <v>12.705215419501135</v>
      </c>
      <c r="F1358" s="124">
        <v>1.603174603174603</v>
      </c>
      <c r="G1358" s="124">
        <v>98.285714285714292</v>
      </c>
      <c r="H1358" s="124">
        <v>98.285714285714292</v>
      </c>
      <c r="I1358" s="124">
        <v>85.580498866213162</v>
      </c>
      <c r="J1358" s="124">
        <v>99.8888888888889</v>
      </c>
      <c r="K1358" s="445">
        <f t="shared" si="51"/>
        <v>-1.7142857142857082</v>
      </c>
      <c r="L1358" s="445">
        <f t="shared" si="52"/>
        <v>-14.419501133786838</v>
      </c>
      <c r="M1358" s="445">
        <f t="shared" si="53"/>
        <v>-0.11111111111110006</v>
      </c>
    </row>
    <row r="1359" spans="1:13" x14ac:dyDescent="0.3">
      <c r="A1359" s="124" t="s">
        <v>1080</v>
      </c>
      <c r="B1359" s="207" t="s">
        <v>97</v>
      </c>
      <c r="C1359" s="207" t="s">
        <v>1052</v>
      </c>
      <c r="D1359" s="146" t="s">
        <v>1055</v>
      </c>
      <c r="E1359" s="207">
        <v>19.501800720288113</v>
      </c>
      <c r="F1359" s="146">
        <v>20.080032012805123</v>
      </c>
      <c r="G1359" s="146">
        <v>57.142857142857146</v>
      </c>
      <c r="H1359" s="146">
        <v>57.142857142857146</v>
      </c>
      <c r="I1359" s="146">
        <v>37.641056422569036</v>
      </c>
      <c r="J1359" s="146">
        <v>77.222889155662273</v>
      </c>
      <c r="K1359" s="445">
        <f t="shared" si="51"/>
        <v>-42.857142857142854</v>
      </c>
      <c r="L1359" s="445">
        <f t="shared" si="52"/>
        <v>-62.358943577430964</v>
      </c>
      <c r="M1359" s="445">
        <f t="shared" si="53"/>
        <v>-22.777110844337727</v>
      </c>
    </row>
    <row r="1360" spans="1:13" x14ac:dyDescent="0.3">
      <c r="A1360" s="124" t="s">
        <v>1080</v>
      </c>
      <c r="B1360" s="207" t="s">
        <v>97</v>
      </c>
      <c r="C1360" s="207" t="s">
        <v>1056</v>
      </c>
      <c r="D1360" s="124" t="s">
        <v>1055</v>
      </c>
      <c r="E1360" s="207">
        <v>15.609710550887021</v>
      </c>
      <c r="F1360" s="124">
        <v>12.592903828197946</v>
      </c>
      <c r="G1360" s="124">
        <v>81.428571428571431</v>
      </c>
      <c r="H1360" s="124">
        <v>81.428571428571431</v>
      </c>
      <c r="I1360" s="124">
        <v>65.818860877684415</v>
      </c>
      <c r="J1360" s="124">
        <v>94.021475256769378</v>
      </c>
      <c r="K1360" s="445">
        <f t="shared" si="51"/>
        <v>-18.571428571428569</v>
      </c>
      <c r="L1360" s="445">
        <f t="shared" si="52"/>
        <v>-34.181139122315585</v>
      </c>
      <c r="M1360" s="445">
        <f t="shared" si="53"/>
        <v>-5.9785247432306221</v>
      </c>
    </row>
    <row r="1361" spans="1:13" ht="15" thickBot="1" x14ac:dyDescent="0.35">
      <c r="A1361" s="124" t="s">
        <v>1080</v>
      </c>
      <c r="B1361" s="629" t="s">
        <v>97</v>
      </c>
      <c r="C1361" s="629" t="s">
        <v>1057</v>
      </c>
      <c r="D1361" s="577" t="s">
        <v>1055</v>
      </c>
      <c r="E1361" s="629">
        <v>16.587301587301585</v>
      </c>
      <c r="F1361" s="577">
        <v>5.7301587301587285</v>
      </c>
      <c r="G1361" s="577">
        <v>93.714285714285708</v>
      </c>
      <c r="H1361" s="577">
        <v>93.714285714285708</v>
      </c>
      <c r="I1361" s="577">
        <v>77.126984126984127</v>
      </c>
      <c r="J1361" s="577">
        <v>99.444444444444443</v>
      </c>
      <c r="K1361" s="445">
        <f t="shared" si="51"/>
        <v>-6.2857142857142918</v>
      </c>
      <c r="L1361" s="445">
        <f t="shared" si="52"/>
        <v>-22.873015873015873</v>
      </c>
      <c r="M1361" s="445">
        <f t="shared" si="53"/>
        <v>-0.55555555555555713</v>
      </c>
    </row>
    <row r="1362" spans="1:13" x14ac:dyDescent="0.3">
      <c r="A1362" s="124" t="s">
        <v>1080</v>
      </c>
      <c r="B1362" s="292" t="s">
        <v>99</v>
      </c>
      <c r="C1362" s="292" t="s">
        <v>1052</v>
      </c>
      <c r="D1362" s="293" t="s">
        <v>1053</v>
      </c>
      <c r="E1362" s="292">
        <v>20.124716553287982</v>
      </c>
      <c r="F1362" s="293">
        <v>15.131519274376416</v>
      </c>
      <c r="G1362" s="293">
        <v>67.142857142857139</v>
      </c>
      <c r="H1362" s="293">
        <v>67.142857142857139</v>
      </c>
      <c r="I1362" s="293">
        <v>47.018140589569157</v>
      </c>
      <c r="J1362" s="293">
        <v>82.274376417233555</v>
      </c>
      <c r="K1362" s="445">
        <f t="shared" si="51"/>
        <v>-32.857142857142861</v>
      </c>
      <c r="L1362" s="445">
        <f t="shared" si="52"/>
        <v>-52.981859410430843</v>
      </c>
      <c r="M1362" s="445">
        <f t="shared" si="53"/>
        <v>-17.725623582766445</v>
      </c>
    </row>
    <row r="1363" spans="1:13" x14ac:dyDescent="0.3">
      <c r="A1363" s="124" t="s">
        <v>1080</v>
      </c>
      <c r="B1363" s="207" t="s">
        <v>99</v>
      </c>
      <c r="C1363" s="207" t="s">
        <v>1056</v>
      </c>
      <c r="D1363" s="124" t="s">
        <v>1053</v>
      </c>
      <c r="E1363" s="207">
        <v>16.881952781112442</v>
      </c>
      <c r="F1363" s="124">
        <v>10.691476590636254</v>
      </c>
      <c r="G1363" s="124">
        <v>79.285714285714292</v>
      </c>
      <c r="H1363" s="124">
        <v>79.285714285714292</v>
      </c>
      <c r="I1363" s="124">
        <v>62.403761504601846</v>
      </c>
      <c r="J1363" s="124">
        <v>89.977190876350548</v>
      </c>
      <c r="K1363" s="445">
        <f t="shared" si="51"/>
        <v>-20.714285714285708</v>
      </c>
      <c r="L1363" s="445">
        <f t="shared" si="52"/>
        <v>-37.596238495398154</v>
      </c>
      <c r="M1363" s="445">
        <f t="shared" si="53"/>
        <v>-10.022809123649452</v>
      </c>
    </row>
    <row r="1364" spans="1:13" x14ac:dyDescent="0.3">
      <c r="A1364" s="124" t="s">
        <v>1080</v>
      </c>
      <c r="B1364" s="207" t="s">
        <v>99</v>
      </c>
      <c r="C1364" s="207" t="s">
        <v>1057</v>
      </c>
      <c r="D1364" s="146" t="s">
        <v>1053</v>
      </c>
      <c r="E1364" s="207">
        <v>0</v>
      </c>
      <c r="F1364" s="146">
        <v>0</v>
      </c>
      <c r="G1364" s="146">
        <v>100</v>
      </c>
      <c r="H1364" s="146">
        <v>100</v>
      </c>
      <c r="I1364" s="146">
        <v>100</v>
      </c>
      <c r="J1364" s="146">
        <v>100</v>
      </c>
      <c r="K1364" s="445">
        <f t="shared" si="51"/>
        <v>0</v>
      </c>
      <c r="L1364" s="445">
        <f t="shared" si="52"/>
        <v>0</v>
      </c>
      <c r="M1364" s="445">
        <f t="shared" si="53"/>
        <v>0</v>
      </c>
    </row>
    <row r="1365" spans="1:13" x14ac:dyDescent="0.3">
      <c r="A1365" s="124" t="s">
        <v>1080</v>
      </c>
      <c r="B1365" s="207" t="s">
        <v>99</v>
      </c>
      <c r="C1365" s="207" t="s">
        <v>1052</v>
      </c>
      <c r="D1365" s="124" t="s">
        <v>1054</v>
      </c>
      <c r="E1365" s="207">
        <v>13.839002267573694</v>
      </c>
      <c r="F1365" s="124">
        <v>19.4172335600907</v>
      </c>
      <c r="G1365" s="124">
        <v>59.142857142857146</v>
      </c>
      <c r="H1365" s="124">
        <v>59.142857142857146</v>
      </c>
      <c r="I1365" s="124">
        <v>45.303854875283449</v>
      </c>
      <c r="J1365" s="124">
        <v>78.560090702947846</v>
      </c>
      <c r="K1365" s="445">
        <f t="shared" si="51"/>
        <v>-40.857142857142854</v>
      </c>
      <c r="L1365" s="445">
        <f t="shared" si="52"/>
        <v>-54.696145124716551</v>
      </c>
      <c r="M1365" s="445">
        <f t="shared" si="53"/>
        <v>-21.439909297052154</v>
      </c>
    </row>
    <row r="1366" spans="1:13" x14ac:dyDescent="0.3">
      <c r="A1366" s="124" t="s">
        <v>1080</v>
      </c>
      <c r="B1366" s="207" t="s">
        <v>99</v>
      </c>
      <c r="C1366" s="207" t="s">
        <v>1056</v>
      </c>
      <c r="D1366" s="146" t="s">
        <v>1054</v>
      </c>
      <c r="E1366" s="207">
        <v>16.718687474989995</v>
      </c>
      <c r="F1366" s="146">
        <v>14.881952781112444</v>
      </c>
      <c r="G1366" s="146">
        <v>72</v>
      </c>
      <c r="H1366" s="146">
        <v>72</v>
      </c>
      <c r="I1366" s="146">
        <v>55.281312525010009</v>
      </c>
      <c r="J1366" s="146">
        <v>86.881952781112446</v>
      </c>
      <c r="K1366" s="445">
        <f t="shared" si="51"/>
        <v>-28</v>
      </c>
      <c r="L1366" s="445">
        <f t="shared" si="52"/>
        <v>-44.718687474989991</v>
      </c>
      <c r="M1366" s="445">
        <f t="shared" si="53"/>
        <v>-13.118047218887554</v>
      </c>
    </row>
    <row r="1367" spans="1:13" x14ac:dyDescent="0.3">
      <c r="A1367" s="124" t="s">
        <v>1080</v>
      </c>
      <c r="B1367" s="207" t="s">
        <v>99</v>
      </c>
      <c r="C1367" s="207" t="s">
        <v>1057</v>
      </c>
      <c r="D1367" s="124" t="s">
        <v>1054</v>
      </c>
      <c r="E1367" s="207">
        <v>11.733493397358943</v>
      </c>
      <c r="F1367" s="124">
        <v>3.6631986127784444</v>
      </c>
      <c r="G1367" s="124">
        <v>96.142857142857139</v>
      </c>
      <c r="H1367" s="124">
        <v>96.142857142857139</v>
      </c>
      <c r="I1367" s="124">
        <v>84.409363745498197</v>
      </c>
      <c r="J1367" s="124">
        <v>99.806055755635583</v>
      </c>
      <c r="K1367" s="445">
        <f t="shared" si="51"/>
        <v>-3.8571428571428612</v>
      </c>
      <c r="L1367" s="445">
        <f t="shared" si="52"/>
        <v>-15.590636254501803</v>
      </c>
      <c r="M1367" s="445">
        <f t="shared" si="53"/>
        <v>-0.19394424436441682</v>
      </c>
    </row>
    <row r="1368" spans="1:13" x14ac:dyDescent="0.3">
      <c r="A1368" s="124" t="s">
        <v>1080</v>
      </c>
      <c r="B1368" s="207" t="s">
        <v>99</v>
      </c>
      <c r="C1368" s="207" t="s">
        <v>1052</v>
      </c>
      <c r="D1368" s="146" t="s">
        <v>1055</v>
      </c>
      <c r="E1368" s="207">
        <v>16.571428571428569</v>
      </c>
      <c r="F1368" s="146">
        <v>14.857142857142856</v>
      </c>
      <c r="G1368" s="146">
        <v>68.571428571428569</v>
      </c>
      <c r="H1368" s="146">
        <v>68.571428571428569</v>
      </c>
      <c r="I1368" s="146">
        <v>52</v>
      </c>
      <c r="J1368" s="146">
        <v>83.428571428571431</v>
      </c>
      <c r="K1368" s="445">
        <f t="shared" si="51"/>
        <v>-31.428571428571431</v>
      </c>
      <c r="L1368" s="445">
        <f t="shared" si="52"/>
        <v>-48</v>
      </c>
      <c r="M1368" s="445">
        <f t="shared" si="53"/>
        <v>-16.571428571428569</v>
      </c>
    </row>
    <row r="1369" spans="1:13" x14ac:dyDescent="0.3">
      <c r="A1369" s="124" t="s">
        <v>1080</v>
      </c>
      <c r="B1369" s="207" t="s">
        <v>99</v>
      </c>
      <c r="C1369" s="207" t="s">
        <v>1056</v>
      </c>
      <c r="D1369" s="146" t="s">
        <v>1055</v>
      </c>
      <c r="E1369" s="207">
        <v>17.731092436974791</v>
      </c>
      <c r="F1369" s="146">
        <v>14.302521008403362</v>
      </c>
      <c r="G1369" s="146">
        <v>78.571428571428569</v>
      </c>
      <c r="H1369" s="146">
        <v>78.571428571428569</v>
      </c>
      <c r="I1369" s="146">
        <v>60.840336134453779</v>
      </c>
      <c r="J1369" s="146">
        <v>92.87394957983193</v>
      </c>
      <c r="K1369" s="445">
        <f t="shared" si="51"/>
        <v>-21.428571428571431</v>
      </c>
      <c r="L1369" s="445">
        <f t="shared" si="52"/>
        <v>-39.159663865546221</v>
      </c>
      <c r="M1369" s="445">
        <f t="shared" si="53"/>
        <v>-7.1260504201680703</v>
      </c>
    </row>
    <row r="1370" spans="1:13" ht="15" thickBot="1" x14ac:dyDescent="0.35">
      <c r="A1370" s="124" t="s">
        <v>1080</v>
      </c>
      <c r="B1370" s="629" t="s">
        <v>99</v>
      </c>
      <c r="C1370" s="629" t="s">
        <v>1057</v>
      </c>
      <c r="D1370" s="577" t="s">
        <v>1055</v>
      </c>
      <c r="E1370" s="629">
        <v>17.526610644257705</v>
      </c>
      <c r="F1370" s="577">
        <v>5.6069094304388409</v>
      </c>
      <c r="G1370" s="577">
        <v>92.571428571428569</v>
      </c>
      <c r="H1370" s="577">
        <v>92.571428571428569</v>
      </c>
      <c r="I1370" s="577">
        <v>75.044817927170868</v>
      </c>
      <c r="J1370" s="577">
        <v>98.178338001867417</v>
      </c>
      <c r="K1370" s="445">
        <f t="shared" si="51"/>
        <v>-7.4285714285714306</v>
      </c>
      <c r="L1370" s="445">
        <f t="shared" si="52"/>
        <v>-24.955182072829132</v>
      </c>
      <c r="M1370" s="445">
        <f t="shared" si="53"/>
        <v>-1.8216619981325834</v>
      </c>
    </row>
    <row r="1371" spans="1:13" x14ac:dyDescent="0.3">
      <c r="A1371" s="124" t="s">
        <v>1080</v>
      </c>
      <c r="B1371" s="292" t="s">
        <v>101</v>
      </c>
      <c r="C1371" s="292" t="s">
        <v>1052</v>
      </c>
      <c r="D1371" s="293" t="s">
        <v>1053</v>
      </c>
      <c r="E1371" s="292">
        <v>14.795918367346939</v>
      </c>
      <c r="F1371" s="293">
        <v>14.002267573696146</v>
      </c>
      <c r="G1371" s="293">
        <v>71.428571428571431</v>
      </c>
      <c r="H1371" s="293">
        <v>71.428571428571431</v>
      </c>
      <c r="I1371" s="293">
        <v>56.632653061224488</v>
      </c>
      <c r="J1371" s="293">
        <v>85.430839002267575</v>
      </c>
      <c r="K1371" s="445">
        <f t="shared" si="51"/>
        <v>-28.571428571428569</v>
      </c>
      <c r="L1371" s="445">
        <f t="shared" si="52"/>
        <v>-43.367346938775512</v>
      </c>
      <c r="M1371" s="445">
        <f t="shared" si="53"/>
        <v>-14.569160997732425</v>
      </c>
    </row>
    <row r="1372" spans="1:13" x14ac:dyDescent="0.3">
      <c r="A1372" s="124" t="s">
        <v>1080</v>
      </c>
      <c r="B1372" s="207" t="s">
        <v>101</v>
      </c>
      <c r="C1372" s="207" t="s">
        <v>1056</v>
      </c>
      <c r="D1372" s="124" t="s">
        <v>1053</v>
      </c>
      <c r="E1372" s="207">
        <v>16.47138855542217</v>
      </c>
      <c r="F1372" s="124">
        <v>11.95438175270108</v>
      </c>
      <c r="G1372" s="124">
        <v>80.714285714285708</v>
      </c>
      <c r="H1372" s="124">
        <v>80.714285714285708</v>
      </c>
      <c r="I1372" s="124">
        <v>64.242897158863542</v>
      </c>
      <c r="J1372" s="124">
        <v>92.66866746698679</v>
      </c>
      <c r="K1372" s="445">
        <f t="shared" si="51"/>
        <v>-19.285714285714292</v>
      </c>
      <c r="L1372" s="445">
        <f t="shared" si="52"/>
        <v>-35.757102841136458</v>
      </c>
      <c r="M1372" s="445">
        <f t="shared" si="53"/>
        <v>-7.3313325330132102</v>
      </c>
    </row>
    <row r="1373" spans="1:13" x14ac:dyDescent="0.3">
      <c r="A1373" s="124" t="s">
        <v>1080</v>
      </c>
      <c r="B1373" s="207" t="s">
        <v>101</v>
      </c>
      <c r="C1373" s="207" t="s">
        <v>1057</v>
      </c>
      <c r="D1373" s="146" t="s">
        <v>1053</v>
      </c>
      <c r="E1373" s="207">
        <v>0</v>
      </c>
      <c r="F1373" s="146">
        <v>0</v>
      </c>
      <c r="G1373" s="146">
        <v>100</v>
      </c>
      <c r="H1373" s="146">
        <v>100</v>
      </c>
      <c r="I1373" s="146">
        <v>100</v>
      </c>
      <c r="J1373" s="146">
        <v>100</v>
      </c>
      <c r="K1373" s="445">
        <f t="shared" si="51"/>
        <v>0</v>
      </c>
      <c r="L1373" s="445">
        <f t="shared" si="52"/>
        <v>0</v>
      </c>
      <c r="M1373" s="445">
        <f t="shared" si="53"/>
        <v>0</v>
      </c>
    </row>
    <row r="1374" spans="1:13" x14ac:dyDescent="0.3">
      <c r="A1374" s="124" t="s">
        <v>1080</v>
      </c>
      <c r="B1374" s="207" t="s">
        <v>101</v>
      </c>
      <c r="C1374" s="207" t="s">
        <v>1052</v>
      </c>
      <c r="D1374" s="146" t="s">
        <v>1054</v>
      </c>
      <c r="E1374" s="207">
        <v>12.027210884353741</v>
      </c>
      <c r="F1374" s="146">
        <v>22.281179138321992</v>
      </c>
      <c r="G1374" s="146">
        <v>60</v>
      </c>
      <c r="H1374" s="146">
        <v>60</v>
      </c>
      <c r="I1374" s="146">
        <v>47.972789115646258</v>
      </c>
      <c r="J1374" s="146">
        <v>82.281179138321988</v>
      </c>
      <c r="K1374" s="445">
        <f t="shared" si="51"/>
        <v>-40</v>
      </c>
      <c r="L1374" s="445">
        <f t="shared" si="52"/>
        <v>-52.027210884353742</v>
      </c>
      <c r="M1374" s="445">
        <f t="shared" si="53"/>
        <v>-17.718820861678012</v>
      </c>
    </row>
    <row r="1375" spans="1:13" x14ac:dyDescent="0.3">
      <c r="A1375" s="124" t="s">
        <v>1080</v>
      </c>
      <c r="B1375" s="207" t="s">
        <v>101</v>
      </c>
      <c r="C1375" s="207" t="s">
        <v>1056</v>
      </c>
      <c r="D1375" s="146" t="s">
        <v>1054</v>
      </c>
      <c r="E1375" s="207">
        <v>12.172068827531012</v>
      </c>
      <c r="F1375" s="146">
        <v>14.48299319727891</v>
      </c>
      <c r="G1375" s="146">
        <v>72</v>
      </c>
      <c r="H1375" s="146">
        <v>72</v>
      </c>
      <c r="I1375" s="146">
        <v>59.827931172468986</v>
      </c>
      <c r="J1375" s="146">
        <v>86.482993197278915</v>
      </c>
      <c r="K1375" s="445">
        <f t="shared" si="51"/>
        <v>-28</v>
      </c>
      <c r="L1375" s="445">
        <f t="shared" si="52"/>
        <v>-40.172068827531014</v>
      </c>
      <c r="M1375" s="445">
        <f t="shared" si="53"/>
        <v>-13.517006802721085</v>
      </c>
    </row>
    <row r="1376" spans="1:13" x14ac:dyDescent="0.3">
      <c r="A1376" s="124" t="s">
        <v>1080</v>
      </c>
      <c r="B1376" s="207" t="s">
        <v>101</v>
      </c>
      <c r="C1376" s="207" t="s">
        <v>1057</v>
      </c>
      <c r="D1376" s="124" t="s">
        <v>1054</v>
      </c>
      <c r="E1376" s="207">
        <v>12.79951980792317</v>
      </c>
      <c r="F1376" s="124">
        <v>3.9575830332132855</v>
      </c>
      <c r="G1376" s="124">
        <v>97.428571428571431</v>
      </c>
      <c r="H1376" s="124">
        <v>97.428571428571431</v>
      </c>
      <c r="I1376" s="124">
        <v>84.629051620648255</v>
      </c>
      <c r="J1376" s="124">
        <v>101.38615446178471</v>
      </c>
      <c r="K1376" s="445">
        <f t="shared" si="51"/>
        <v>-2.5714285714285694</v>
      </c>
      <c r="L1376" s="445">
        <f t="shared" si="52"/>
        <v>-15.370948379351745</v>
      </c>
      <c r="M1376" s="445">
        <f t="shared" si="53"/>
        <v>1.386154461784713</v>
      </c>
    </row>
    <row r="1377" spans="1:13" x14ac:dyDescent="0.3">
      <c r="A1377" s="124" t="s">
        <v>1080</v>
      </c>
      <c r="B1377" s="207" t="s">
        <v>101</v>
      </c>
      <c r="C1377" s="207" t="s">
        <v>1052</v>
      </c>
      <c r="D1377" s="146" t="s">
        <v>1055</v>
      </c>
      <c r="E1377" s="207">
        <v>16.353741496598637</v>
      </c>
      <c r="F1377" s="146">
        <v>18.836734693877549</v>
      </c>
      <c r="G1377" s="146">
        <v>77.857142857142861</v>
      </c>
      <c r="H1377" s="146">
        <v>77.857142857142861</v>
      </c>
      <c r="I1377" s="146">
        <v>61.503401360544224</v>
      </c>
      <c r="J1377" s="146">
        <v>96.693877551020407</v>
      </c>
      <c r="K1377" s="445">
        <f t="shared" si="51"/>
        <v>-22.142857142857139</v>
      </c>
      <c r="L1377" s="445">
        <f t="shared" si="52"/>
        <v>-38.496598639455776</v>
      </c>
      <c r="M1377" s="445">
        <f t="shared" si="53"/>
        <v>-3.3061224489795933</v>
      </c>
    </row>
    <row r="1378" spans="1:13" x14ac:dyDescent="0.3">
      <c r="A1378" s="124" t="s">
        <v>1080</v>
      </c>
      <c r="B1378" s="207" t="s">
        <v>101</v>
      </c>
      <c r="C1378" s="207" t="s">
        <v>1056</v>
      </c>
      <c r="D1378" s="146" t="s">
        <v>1055</v>
      </c>
      <c r="E1378" s="207">
        <v>15.012404961984791</v>
      </c>
      <c r="F1378" s="146">
        <v>14.729571828731491</v>
      </c>
      <c r="G1378" s="146">
        <v>84.285714285714292</v>
      </c>
      <c r="H1378" s="146">
        <v>84.285714285714292</v>
      </c>
      <c r="I1378" s="146">
        <v>69.273309323729507</v>
      </c>
      <c r="J1378" s="146">
        <v>99.015286114445786</v>
      </c>
      <c r="K1378" s="445">
        <f t="shared" si="51"/>
        <v>-15.714285714285708</v>
      </c>
      <c r="L1378" s="445">
        <f t="shared" si="52"/>
        <v>-30.726690676270493</v>
      </c>
      <c r="M1378" s="445">
        <f t="shared" si="53"/>
        <v>-0.98471388555421413</v>
      </c>
    </row>
    <row r="1379" spans="1:13" ht="15" thickBot="1" x14ac:dyDescent="0.35">
      <c r="A1379" s="124" t="s">
        <v>1080</v>
      </c>
      <c r="B1379" s="629" t="s">
        <v>101</v>
      </c>
      <c r="C1379" s="629" t="s">
        <v>1057</v>
      </c>
      <c r="D1379" s="577" t="s">
        <v>1055</v>
      </c>
      <c r="E1379" s="629">
        <v>19.723889555822332</v>
      </c>
      <c r="F1379" s="577">
        <v>6.298386021075097</v>
      </c>
      <c r="G1379" s="577">
        <v>94</v>
      </c>
      <c r="H1379" s="577">
        <v>94</v>
      </c>
      <c r="I1379" s="577">
        <v>74.276110444177675</v>
      </c>
      <c r="J1379" s="577">
        <v>100.2983860210751</v>
      </c>
      <c r="K1379" s="445">
        <f t="shared" si="51"/>
        <v>-6</v>
      </c>
      <c r="L1379" s="445">
        <f t="shared" si="52"/>
        <v>-25.723889555822325</v>
      </c>
      <c r="M1379" s="445">
        <f t="shared" si="53"/>
        <v>0.29838602107510326</v>
      </c>
    </row>
    <row r="1380" spans="1:13" x14ac:dyDescent="0.3">
      <c r="A1380" s="124" t="s">
        <v>1080</v>
      </c>
      <c r="B1380" s="292" t="s">
        <v>103</v>
      </c>
      <c r="C1380" s="292" t="s">
        <v>1052</v>
      </c>
      <c r="D1380" s="293" t="s">
        <v>1053</v>
      </c>
      <c r="E1380" s="292">
        <v>17.450980392156861</v>
      </c>
      <c r="F1380" s="293">
        <v>13.165266106442576</v>
      </c>
      <c r="G1380" s="293">
        <v>63.571428571428569</v>
      </c>
      <c r="H1380" s="293">
        <v>63.571428571428569</v>
      </c>
      <c r="I1380" s="293">
        <v>46.120448179271705</v>
      </c>
      <c r="J1380" s="293">
        <v>76.736694677871142</v>
      </c>
      <c r="K1380" s="445">
        <f t="shared" si="51"/>
        <v>-36.428571428571431</v>
      </c>
      <c r="L1380" s="445">
        <f t="shared" si="52"/>
        <v>-53.879551820728295</v>
      </c>
      <c r="M1380" s="445">
        <f t="shared" si="53"/>
        <v>-23.263305322128858</v>
      </c>
    </row>
    <row r="1381" spans="1:13" x14ac:dyDescent="0.3">
      <c r="A1381" s="124" t="s">
        <v>1080</v>
      </c>
      <c r="B1381" s="207" t="s">
        <v>103</v>
      </c>
      <c r="C1381" s="207" t="s">
        <v>1056</v>
      </c>
      <c r="D1381" s="124" t="s">
        <v>1053</v>
      </c>
      <c r="E1381" s="207">
        <v>20.031746031746028</v>
      </c>
      <c r="F1381" s="124">
        <v>9.4920634920634921</v>
      </c>
      <c r="G1381" s="124">
        <v>83.285714285714292</v>
      </c>
      <c r="H1381" s="124">
        <v>83.285714285714292</v>
      </c>
      <c r="I1381" s="124">
        <v>63.253968253968267</v>
      </c>
      <c r="J1381" s="124">
        <v>92.777777777777786</v>
      </c>
      <c r="K1381" s="445">
        <f t="shared" si="51"/>
        <v>-16.714285714285708</v>
      </c>
      <c r="L1381" s="445">
        <f t="shared" si="52"/>
        <v>-36.746031746031733</v>
      </c>
      <c r="M1381" s="445">
        <f t="shared" si="53"/>
        <v>-7.2222222222222143</v>
      </c>
    </row>
    <row r="1382" spans="1:13" x14ac:dyDescent="0.3">
      <c r="A1382" s="124" t="s">
        <v>1080</v>
      </c>
      <c r="B1382" s="207" t="s">
        <v>103</v>
      </c>
      <c r="C1382" s="207" t="s">
        <v>1057</v>
      </c>
      <c r="D1382" s="124" t="s">
        <v>1053</v>
      </c>
      <c r="E1382" s="207">
        <v>0</v>
      </c>
      <c r="F1382" s="124">
        <v>0</v>
      </c>
      <c r="G1382" s="124">
        <v>100</v>
      </c>
      <c r="H1382" s="124">
        <v>100</v>
      </c>
      <c r="I1382" s="124">
        <v>100</v>
      </c>
      <c r="J1382" s="124">
        <v>100</v>
      </c>
      <c r="K1382" s="445">
        <f t="shared" si="51"/>
        <v>0</v>
      </c>
      <c r="L1382" s="445">
        <f t="shared" si="52"/>
        <v>0</v>
      </c>
      <c r="M1382" s="445">
        <f t="shared" si="53"/>
        <v>0</v>
      </c>
    </row>
    <row r="1383" spans="1:13" x14ac:dyDescent="0.3">
      <c r="A1383" s="124" t="s">
        <v>1080</v>
      </c>
      <c r="B1383" s="207" t="s">
        <v>103</v>
      </c>
      <c r="C1383" s="207" t="s">
        <v>1052</v>
      </c>
      <c r="D1383" s="146" t="s">
        <v>1054</v>
      </c>
      <c r="E1383" s="207">
        <v>19.641456582633054</v>
      </c>
      <c r="F1383" s="146">
        <v>30.689075630252098</v>
      </c>
      <c r="G1383" s="146">
        <v>44.285714285714285</v>
      </c>
      <c r="H1383" s="146">
        <v>44.285714285714285</v>
      </c>
      <c r="I1383" s="146">
        <v>24.64425770308123</v>
      </c>
      <c r="J1383" s="146">
        <v>74.974789915966383</v>
      </c>
      <c r="K1383" s="445">
        <f t="shared" si="51"/>
        <v>-55.714285714285715</v>
      </c>
      <c r="L1383" s="445">
        <f t="shared" si="52"/>
        <v>-75.355742296918777</v>
      </c>
      <c r="M1383" s="445">
        <f t="shared" si="53"/>
        <v>-25.025210084033617</v>
      </c>
    </row>
    <row r="1384" spans="1:13" x14ac:dyDescent="0.3">
      <c r="A1384" s="124" t="s">
        <v>1080</v>
      </c>
      <c r="B1384" s="207" t="s">
        <v>103</v>
      </c>
      <c r="C1384" s="207" t="s">
        <v>1056</v>
      </c>
      <c r="D1384" s="124" t="s">
        <v>1054</v>
      </c>
      <c r="E1384" s="207">
        <v>19.761904761904759</v>
      </c>
      <c r="F1384" s="124">
        <v>23.714285714285715</v>
      </c>
      <c r="G1384" s="124">
        <v>67.714285714285708</v>
      </c>
      <c r="H1384" s="124">
        <v>67.714285714285708</v>
      </c>
      <c r="I1384" s="124">
        <v>47.952380952380949</v>
      </c>
      <c r="J1384" s="124">
        <v>91.428571428571416</v>
      </c>
      <c r="K1384" s="445">
        <f t="shared" si="51"/>
        <v>-32.285714285714292</v>
      </c>
      <c r="L1384" s="445">
        <f t="shared" si="52"/>
        <v>-52.047619047619051</v>
      </c>
      <c r="M1384" s="445">
        <f t="shared" si="53"/>
        <v>-8.5714285714285836</v>
      </c>
    </row>
    <row r="1385" spans="1:13" x14ac:dyDescent="0.3">
      <c r="A1385" s="124" t="s">
        <v>1080</v>
      </c>
      <c r="B1385" s="207" t="s">
        <v>103</v>
      </c>
      <c r="C1385" s="207" t="s">
        <v>1057</v>
      </c>
      <c r="D1385" s="124" t="s">
        <v>1054</v>
      </c>
      <c r="E1385" s="207">
        <v>15.396825396825395</v>
      </c>
      <c r="F1385" s="124">
        <v>12.206349206349206</v>
      </c>
      <c r="G1385" s="124">
        <v>89.857142857142861</v>
      </c>
      <c r="H1385" s="124">
        <v>89.857142857142861</v>
      </c>
      <c r="I1385" s="124">
        <v>74.460317460317469</v>
      </c>
      <c r="J1385" s="124">
        <v>102.06349206349206</v>
      </c>
      <c r="K1385" s="445">
        <f t="shared" si="51"/>
        <v>-10.142857142857139</v>
      </c>
      <c r="L1385" s="445">
        <f t="shared" si="52"/>
        <v>-25.539682539682531</v>
      </c>
      <c r="M1385" s="445">
        <f t="shared" si="53"/>
        <v>2.0634920634920633</v>
      </c>
    </row>
    <row r="1386" spans="1:13" x14ac:dyDescent="0.3">
      <c r="A1386" s="124" t="s">
        <v>1080</v>
      </c>
      <c r="B1386" s="207" t="s">
        <v>103</v>
      </c>
      <c r="C1386" s="207" t="s">
        <v>1052</v>
      </c>
      <c r="D1386" s="124" t="s">
        <v>1055</v>
      </c>
      <c r="E1386" s="207">
        <v>24.921568627450984</v>
      </c>
      <c r="F1386" s="124">
        <v>18.397759103641455</v>
      </c>
      <c r="G1386" s="124">
        <v>55.714285714285715</v>
      </c>
      <c r="H1386" s="124">
        <v>55.714285714285715</v>
      </c>
      <c r="I1386" s="124">
        <v>30.792717086834731</v>
      </c>
      <c r="J1386" s="124">
        <v>74.11204481792717</v>
      </c>
      <c r="K1386" s="445">
        <f t="shared" si="51"/>
        <v>-44.285714285714285</v>
      </c>
      <c r="L1386" s="445">
        <f t="shared" si="52"/>
        <v>-69.207282913165272</v>
      </c>
      <c r="M1386" s="445">
        <f t="shared" si="53"/>
        <v>-25.88795518207283</v>
      </c>
    </row>
    <row r="1387" spans="1:13" x14ac:dyDescent="0.3">
      <c r="A1387" s="124" t="s">
        <v>1080</v>
      </c>
      <c r="B1387" s="207" t="s">
        <v>103</v>
      </c>
      <c r="C1387" s="207" t="s">
        <v>1056</v>
      </c>
      <c r="D1387" s="146" t="s">
        <v>1055</v>
      </c>
      <c r="E1387" s="207">
        <v>23.333333333333336</v>
      </c>
      <c r="F1387" s="146">
        <v>17.190476190476193</v>
      </c>
      <c r="G1387" s="146">
        <v>80</v>
      </c>
      <c r="H1387" s="146">
        <v>80</v>
      </c>
      <c r="I1387" s="146">
        <v>56.666666666666664</v>
      </c>
      <c r="J1387" s="146">
        <v>97.19047619047619</v>
      </c>
      <c r="K1387" s="445">
        <f t="shared" si="51"/>
        <v>-20</v>
      </c>
      <c r="L1387" s="445">
        <f t="shared" si="52"/>
        <v>-43.333333333333336</v>
      </c>
      <c r="M1387" s="445">
        <f t="shared" si="53"/>
        <v>-2.8095238095238102</v>
      </c>
    </row>
    <row r="1388" spans="1:13" ht="15" thickBot="1" x14ac:dyDescent="0.35">
      <c r="A1388" s="124" t="s">
        <v>1080</v>
      </c>
      <c r="B1388" s="629" t="s">
        <v>103</v>
      </c>
      <c r="C1388" s="629" t="s">
        <v>1057</v>
      </c>
      <c r="D1388" s="577" t="s">
        <v>1055</v>
      </c>
      <c r="E1388" s="629">
        <v>23.761904761904763</v>
      </c>
      <c r="F1388" s="577">
        <v>7.9523809523809508</v>
      </c>
      <c r="G1388" s="577">
        <v>92.142857142857139</v>
      </c>
      <c r="H1388" s="577">
        <v>92.142857142857139</v>
      </c>
      <c r="I1388" s="577">
        <v>68.38095238095238</v>
      </c>
      <c r="J1388" s="577">
        <v>100.09523809523809</v>
      </c>
      <c r="K1388" s="445">
        <f t="shared" si="51"/>
        <v>-7.8571428571428612</v>
      </c>
      <c r="L1388" s="445">
        <f t="shared" si="52"/>
        <v>-31.61904761904762</v>
      </c>
      <c r="M1388" s="445">
        <f t="shared" si="53"/>
        <v>9.5238095238087794E-2</v>
      </c>
    </row>
    <row r="1389" spans="1:13" x14ac:dyDescent="0.3">
      <c r="A1389" s="124" t="s">
        <v>1080</v>
      </c>
      <c r="B1389" s="292" t="s">
        <v>105</v>
      </c>
      <c r="C1389" s="292" t="s">
        <v>1052</v>
      </c>
      <c r="D1389" s="293" t="s">
        <v>1053</v>
      </c>
      <c r="E1389" s="292">
        <v>22.280912364945976</v>
      </c>
      <c r="F1389" s="293">
        <v>17.28091236494598</v>
      </c>
      <c r="G1389" s="293">
        <v>54.285714285714285</v>
      </c>
      <c r="H1389" s="293">
        <v>54.285714285714285</v>
      </c>
      <c r="I1389" s="293">
        <v>32.004801920768308</v>
      </c>
      <c r="J1389" s="293">
        <v>71.566626650660268</v>
      </c>
      <c r="K1389" s="445">
        <f t="shared" si="51"/>
        <v>-45.714285714285715</v>
      </c>
      <c r="L1389" s="445">
        <f t="shared" si="52"/>
        <v>-67.995198079231699</v>
      </c>
      <c r="M1389" s="445">
        <f t="shared" si="53"/>
        <v>-28.433373349339732</v>
      </c>
    </row>
    <row r="1390" spans="1:13" x14ac:dyDescent="0.3">
      <c r="A1390" s="124" t="s">
        <v>1080</v>
      </c>
      <c r="B1390" s="207" t="s">
        <v>105</v>
      </c>
      <c r="C1390" s="207" t="s">
        <v>1056</v>
      </c>
      <c r="D1390" s="124" t="s">
        <v>1053</v>
      </c>
      <c r="E1390" s="207">
        <v>19.360544217687075</v>
      </c>
      <c r="F1390" s="124">
        <v>10.21768707482993</v>
      </c>
      <c r="G1390" s="124">
        <v>82.142857142857139</v>
      </c>
      <c r="H1390" s="124">
        <v>82.142857142857139</v>
      </c>
      <c r="I1390" s="124">
        <v>62.782312925170061</v>
      </c>
      <c r="J1390" s="124">
        <v>92.360544217687064</v>
      </c>
      <c r="K1390" s="445">
        <f t="shared" si="51"/>
        <v>-17.857142857142861</v>
      </c>
      <c r="L1390" s="445">
        <f t="shared" si="52"/>
        <v>-37.217687074829939</v>
      </c>
      <c r="M1390" s="445">
        <f t="shared" si="53"/>
        <v>-7.6394557823129361</v>
      </c>
    </row>
    <row r="1391" spans="1:13" x14ac:dyDescent="0.3">
      <c r="A1391" s="124" t="s">
        <v>1080</v>
      </c>
      <c r="B1391" s="207" t="s">
        <v>105</v>
      </c>
      <c r="C1391" s="207" t="s">
        <v>1057</v>
      </c>
      <c r="D1391" s="124" t="s">
        <v>1053</v>
      </c>
      <c r="E1391" s="207">
        <v>0</v>
      </c>
      <c r="F1391" s="124">
        <v>0</v>
      </c>
      <c r="G1391" s="124">
        <v>100</v>
      </c>
      <c r="H1391" s="124">
        <v>100</v>
      </c>
      <c r="I1391" s="124">
        <v>100</v>
      </c>
      <c r="J1391" s="124">
        <v>100</v>
      </c>
      <c r="K1391" s="445">
        <f t="shared" si="51"/>
        <v>0</v>
      </c>
      <c r="L1391" s="445">
        <f t="shared" si="52"/>
        <v>0</v>
      </c>
      <c r="M1391" s="445">
        <f t="shared" si="53"/>
        <v>0</v>
      </c>
    </row>
    <row r="1392" spans="1:13" x14ac:dyDescent="0.3">
      <c r="A1392" s="124" t="s">
        <v>1080</v>
      </c>
      <c r="B1392" s="207" t="s">
        <v>105</v>
      </c>
      <c r="C1392" s="207" t="s">
        <v>1052</v>
      </c>
      <c r="D1392" s="146" t="s">
        <v>1054</v>
      </c>
      <c r="E1392" s="207">
        <v>16.407896491930106</v>
      </c>
      <c r="F1392" s="146">
        <v>30.058690142723751</v>
      </c>
      <c r="G1392" s="146">
        <v>40</v>
      </c>
      <c r="H1392" s="146">
        <v>40</v>
      </c>
      <c r="I1392" s="146">
        <v>23.592103508069894</v>
      </c>
      <c r="J1392" s="146">
        <v>70.058690142723748</v>
      </c>
      <c r="K1392" s="445">
        <f t="shared" si="51"/>
        <v>-60</v>
      </c>
      <c r="L1392" s="445">
        <f t="shared" si="52"/>
        <v>-76.407896491930103</v>
      </c>
      <c r="M1392" s="445">
        <f t="shared" si="53"/>
        <v>-29.941309857276252</v>
      </c>
    </row>
    <row r="1393" spans="1:13" x14ac:dyDescent="0.3">
      <c r="A1393" s="124" t="s">
        <v>1080</v>
      </c>
      <c r="B1393" s="207" t="s">
        <v>105</v>
      </c>
      <c r="C1393" s="207" t="s">
        <v>1056</v>
      </c>
      <c r="D1393" s="124" t="s">
        <v>1054</v>
      </c>
      <c r="E1393" s="207">
        <v>18.625850340136054</v>
      </c>
      <c r="F1393" s="124">
        <v>17.918367346938773</v>
      </c>
      <c r="G1393" s="124">
        <v>70</v>
      </c>
      <c r="H1393" s="124">
        <v>70</v>
      </c>
      <c r="I1393" s="124">
        <v>51.374149659863946</v>
      </c>
      <c r="J1393" s="124">
        <v>87.918367346938766</v>
      </c>
      <c r="K1393" s="445">
        <f t="shared" si="51"/>
        <v>-30</v>
      </c>
      <c r="L1393" s="445">
        <f t="shared" si="52"/>
        <v>-48.625850340136054</v>
      </c>
      <c r="M1393" s="445">
        <f t="shared" si="53"/>
        <v>-12.081632653061234</v>
      </c>
    </row>
    <row r="1394" spans="1:13" x14ac:dyDescent="0.3">
      <c r="A1394" s="124" t="s">
        <v>1080</v>
      </c>
      <c r="B1394" s="207" t="s">
        <v>105</v>
      </c>
      <c r="C1394" s="207" t="s">
        <v>1057</v>
      </c>
      <c r="D1394" s="124" t="s">
        <v>1054</v>
      </c>
      <c r="E1394" s="207">
        <v>13.609977324263038</v>
      </c>
      <c r="F1394" s="124">
        <v>9.9501133786848062</v>
      </c>
      <c r="G1394" s="124">
        <v>91.142857142857139</v>
      </c>
      <c r="H1394" s="124">
        <v>91.142857142857139</v>
      </c>
      <c r="I1394" s="124">
        <v>77.532879818594097</v>
      </c>
      <c r="J1394" s="124">
        <v>101.09297052154194</v>
      </c>
      <c r="K1394" s="445">
        <f t="shared" si="51"/>
        <v>-8.8571428571428612</v>
      </c>
      <c r="L1394" s="445">
        <f t="shared" si="52"/>
        <v>-22.467120181405903</v>
      </c>
      <c r="M1394" s="445">
        <f t="shared" si="53"/>
        <v>1.0929705215419432</v>
      </c>
    </row>
    <row r="1395" spans="1:13" x14ac:dyDescent="0.3">
      <c r="A1395" s="124" t="s">
        <v>1080</v>
      </c>
      <c r="B1395" s="207" t="s">
        <v>105</v>
      </c>
      <c r="C1395" s="207" t="s">
        <v>1052</v>
      </c>
      <c r="D1395" s="124" t="s">
        <v>1055</v>
      </c>
      <c r="E1395" s="207">
        <v>13.752701080432171</v>
      </c>
      <c r="F1395" s="124">
        <v>24.138055222088834</v>
      </c>
      <c r="G1395" s="124">
        <v>53.571428571428569</v>
      </c>
      <c r="H1395" s="124">
        <v>53.571428571428569</v>
      </c>
      <c r="I1395" s="124">
        <v>39.818727490996395</v>
      </c>
      <c r="J1395" s="124">
        <v>77.709483793517407</v>
      </c>
      <c r="K1395" s="445">
        <f t="shared" si="51"/>
        <v>-46.428571428571431</v>
      </c>
      <c r="L1395" s="445">
        <f t="shared" si="52"/>
        <v>-60.181272509003605</v>
      </c>
      <c r="M1395" s="445">
        <f t="shared" si="53"/>
        <v>-22.290516206482593</v>
      </c>
    </row>
    <row r="1396" spans="1:13" x14ac:dyDescent="0.3">
      <c r="A1396" s="124" t="s">
        <v>1080</v>
      </c>
      <c r="B1396" s="207" t="s">
        <v>105</v>
      </c>
      <c r="C1396" s="207" t="s">
        <v>1056</v>
      </c>
      <c r="D1396" s="124" t="s">
        <v>1055</v>
      </c>
      <c r="E1396" s="207">
        <v>18.30612244897959</v>
      </c>
      <c r="F1396" s="124">
        <v>15.346938775510202</v>
      </c>
      <c r="G1396" s="124">
        <v>75</v>
      </c>
      <c r="H1396" s="124">
        <v>75</v>
      </c>
      <c r="I1396" s="124">
        <v>56.693877551020407</v>
      </c>
      <c r="J1396" s="124">
        <v>90.346938775510196</v>
      </c>
      <c r="K1396" s="445">
        <f t="shared" si="51"/>
        <v>-25</v>
      </c>
      <c r="L1396" s="445">
        <f t="shared" si="52"/>
        <v>-43.306122448979593</v>
      </c>
      <c r="M1396" s="445">
        <f t="shared" si="53"/>
        <v>-9.6530612244898037</v>
      </c>
    </row>
    <row r="1397" spans="1:13" ht="15" thickBot="1" x14ac:dyDescent="0.35">
      <c r="A1397" s="124" t="s">
        <v>1080</v>
      </c>
      <c r="B1397" s="629" t="s">
        <v>105</v>
      </c>
      <c r="C1397" s="629" t="s">
        <v>1057</v>
      </c>
      <c r="D1397" s="577" t="s">
        <v>1055</v>
      </c>
      <c r="E1397" s="629">
        <v>16.277551020408161</v>
      </c>
      <c r="F1397" s="577">
        <v>9.7791383219954646</v>
      </c>
      <c r="G1397" s="577">
        <v>86</v>
      </c>
      <c r="H1397" s="577">
        <v>86</v>
      </c>
      <c r="I1397" s="577">
        <v>69.722448979591832</v>
      </c>
      <c r="J1397" s="577">
        <v>95.779138321995461</v>
      </c>
      <c r="K1397" s="445">
        <f t="shared" si="51"/>
        <v>-14</v>
      </c>
      <c r="L1397" s="445">
        <f t="shared" si="52"/>
        <v>-30.277551020408168</v>
      </c>
      <c r="M1397" s="445">
        <f t="shared" si="53"/>
        <v>-4.2208616780045389</v>
      </c>
    </row>
    <row r="1398" spans="1:13" x14ac:dyDescent="0.3">
      <c r="A1398" s="124" t="s">
        <v>1080</v>
      </c>
      <c r="B1398" s="292" t="s">
        <v>107</v>
      </c>
      <c r="C1398" s="292" t="s">
        <v>1052</v>
      </c>
      <c r="D1398" s="293" t="s">
        <v>1053</v>
      </c>
      <c r="E1398" s="292">
        <v>16.702681072428973</v>
      </c>
      <c r="F1398" s="293">
        <v>17.655062024809926</v>
      </c>
      <c r="G1398" s="293">
        <v>57.142857142857146</v>
      </c>
      <c r="H1398" s="293">
        <v>57.142857142857146</v>
      </c>
      <c r="I1398" s="293">
        <v>40.440176070428173</v>
      </c>
      <c r="J1398" s="293">
        <v>74.797919167667075</v>
      </c>
      <c r="K1398" s="445">
        <f t="shared" si="51"/>
        <v>-42.857142857142854</v>
      </c>
      <c r="L1398" s="445">
        <f t="shared" si="52"/>
        <v>-59.559823929571827</v>
      </c>
      <c r="M1398" s="445">
        <f t="shared" si="53"/>
        <v>-25.202080832332925</v>
      </c>
    </row>
    <row r="1399" spans="1:13" x14ac:dyDescent="0.3">
      <c r="A1399" s="124" t="s">
        <v>1080</v>
      </c>
      <c r="B1399" s="207" t="s">
        <v>107</v>
      </c>
      <c r="C1399" s="207" t="s">
        <v>1056</v>
      </c>
      <c r="D1399" s="146" t="s">
        <v>1053</v>
      </c>
      <c r="E1399" s="207">
        <v>19.823129251700681</v>
      </c>
      <c r="F1399" s="146">
        <v>12.204081632653061</v>
      </c>
      <c r="G1399" s="146">
        <v>77.857142857142861</v>
      </c>
      <c r="H1399" s="146">
        <v>77.857142857142861</v>
      </c>
      <c r="I1399" s="146">
        <v>58.034013605442183</v>
      </c>
      <c r="J1399" s="146">
        <v>90.061224489795919</v>
      </c>
      <c r="K1399" s="445">
        <f t="shared" si="51"/>
        <v>-22.142857142857139</v>
      </c>
      <c r="L1399" s="445">
        <f t="shared" si="52"/>
        <v>-41.965986394557817</v>
      </c>
      <c r="M1399" s="445">
        <f t="shared" si="53"/>
        <v>-9.9387755102040813</v>
      </c>
    </row>
    <row r="1400" spans="1:13" x14ac:dyDescent="0.3">
      <c r="A1400" s="124" t="s">
        <v>1080</v>
      </c>
      <c r="B1400" s="207" t="s">
        <v>107</v>
      </c>
      <c r="C1400" s="207" t="s">
        <v>1057</v>
      </c>
      <c r="D1400" s="124" t="s">
        <v>1053</v>
      </c>
      <c r="E1400" s="207">
        <v>0</v>
      </c>
      <c r="F1400" s="124">
        <v>0</v>
      </c>
      <c r="G1400" s="124">
        <v>100</v>
      </c>
      <c r="H1400" s="124">
        <v>100</v>
      </c>
      <c r="I1400" s="124">
        <v>100</v>
      </c>
      <c r="J1400" s="124">
        <v>100</v>
      </c>
      <c r="K1400" s="445">
        <f t="shared" si="51"/>
        <v>0</v>
      </c>
      <c r="L1400" s="445">
        <f t="shared" si="52"/>
        <v>0</v>
      </c>
      <c r="M1400" s="445">
        <f t="shared" si="53"/>
        <v>0</v>
      </c>
    </row>
    <row r="1401" spans="1:13" x14ac:dyDescent="0.3">
      <c r="A1401" s="124" t="s">
        <v>1080</v>
      </c>
      <c r="B1401" s="207" t="s">
        <v>107</v>
      </c>
      <c r="C1401" s="207" t="s">
        <v>1052</v>
      </c>
      <c r="D1401" s="124" t="s">
        <v>1054</v>
      </c>
      <c r="E1401" s="207">
        <v>20.342136854741891</v>
      </c>
      <c r="F1401" s="124">
        <v>25.920368147258902</v>
      </c>
      <c r="G1401" s="124">
        <v>37.857142857142854</v>
      </c>
      <c r="H1401" s="124">
        <v>37.857142857142854</v>
      </c>
      <c r="I1401" s="124">
        <v>17.515006002400963</v>
      </c>
      <c r="J1401" s="124">
        <v>63.777511004401759</v>
      </c>
      <c r="K1401" s="445">
        <f t="shared" si="51"/>
        <v>-62.142857142857146</v>
      </c>
      <c r="L1401" s="445">
        <f t="shared" si="52"/>
        <v>-82.484993997599034</v>
      </c>
      <c r="M1401" s="445">
        <f t="shared" si="53"/>
        <v>-36.222488995598241</v>
      </c>
    </row>
    <row r="1402" spans="1:13" x14ac:dyDescent="0.3">
      <c r="A1402" s="124" t="s">
        <v>1080</v>
      </c>
      <c r="B1402" s="207" t="s">
        <v>107</v>
      </c>
      <c r="C1402" s="207" t="s">
        <v>1056</v>
      </c>
      <c r="D1402" s="146" t="s">
        <v>1054</v>
      </c>
      <c r="E1402" s="207">
        <v>22.959183673469386</v>
      </c>
      <c r="F1402" s="146">
        <v>22.619047619047617</v>
      </c>
      <c r="G1402" s="146">
        <v>59.285714285714285</v>
      </c>
      <c r="H1402" s="146">
        <v>59.285714285714285</v>
      </c>
      <c r="I1402" s="146">
        <v>36.326530612244895</v>
      </c>
      <c r="J1402" s="146">
        <v>81.904761904761898</v>
      </c>
      <c r="K1402" s="445">
        <f t="shared" si="51"/>
        <v>-40.714285714285715</v>
      </c>
      <c r="L1402" s="445">
        <f t="shared" si="52"/>
        <v>-63.673469387755105</v>
      </c>
      <c r="M1402" s="445">
        <f t="shared" si="53"/>
        <v>-18.095238095238102</v>
      </c>
    </row>
    <row r="1403" spans="1:13" x14ac:dyDescent="0.3">
      <c r="A1403" s="124" t="s">
        <v>1080</v>
      </c>
      <c r="B1403" s="207" t="s">
        <v>107</v>
      </c>
      <c r="C1403" s="207" t="s">
        <v>1057</v>
      </c>
      <c r="D1403" s="146" t="s">
        <v>1054</v>
      </c>
      <c r="E1403" s="207">
        <v>18.154195011337869</v>
      </c>
      <c r="F1403" s="146">
        <v>15.723356009070292</v>
      </c>
      <c r="G1403" s="146">
        <v>84.428571428571431</v>
      </c>
      <c r="H1403" s="146">
        <v>84.428571428571431</v>
      </c>
      <c r="I1403" s="146">
        <v>66.274376417233555</v>
      </c>
      <c r="J1403" s="146">
        <v>100.15192743764172</v>
      </c>
      <c r="K1403" s="445">
        <f t="shared" si="51"/>
        <v>-15.571428571428569</v>
      </c>
      <c r="L1403" s="445">
        <f t="shared" si="52"/>
        <v>-33.725623582766445</v>
      </c>
      <c r="M1403" s="445">
        <f t="shared" si="53"/>
        <v>0.15192743764171723</v>
      </c>
    </row>
    <row r="1404" spans="1:13" x14ac:dyDescent="0.3">
      <c r="A1404" s="124" t="s">
        <v>1080</v>
      </c>
      <c r="B1404" s="207" t="s">
        <v>107</v>
      </c>
      <c r="C1404" s="207" t="s">
        <v>1052</v>
      </c>
      <c r="D1404" s="124" t="s">
        <v>1055</v>
      </c>
      <c r="E1404" s="207">
        <v>27.554221688675472</v>
      </c>
      <c r="F1404" s="124">
        <v>20.805922368947581</v>
      </c>
      <c r="G1404" s="124">
        <v>51.428571428571431</v>
      </c>
      <c r="H1404" s="124">
        <v>51.428571428571431</v>
      </c>
      <c r="I1404" s="124">
        <v>23.874349739895958</v>
      </c>
      <c r="J1404" s="124">
        <v>72.234493797519008</v>
      </c>
      <c r="K1404" s="445">
        <f t="shared" si="51"/>
        <v>-48.571428571428569</v>
      </c>
      <c r="L1404" s="445">
        <f t="shared" si="52"/>
        <v>-76.125650260104038</v>
      </c>
      <c r="M1404" s="445">
        <f t="shared" si="53"/>
        <v>-27.765506202480992</v>
      </c>
    </row>
    <row r="1405" spans="1:13" x14ac:dyDescent="0.3">
      <c r="A1405" s="124" t="s">
        <v>1080</v>
      </c>
      <c r="B1405" s="207" t="s">
        <v>107</v>
      </c>
      <c r="C1405" s="207" t="s">
        <v>1056</v>
      </c>
      <c r="D1405" s="146" t="s">
        <v>1055</v>
      </c>
      <c r="E1405" s="207">
        <v>30.748299319727892</v>
      </c>
      <c r="F1405" s="146">
        <v>16.598639455782312</v>
      </c>
      <c r="G1405" s="146">
        <v>73.571428571428569</v>
      </c>
      <c r="H1405" s="146">
        <v>73.571428571428569</v>
      </c>
      <c r="I1405" s="146">
        <v>42.823129251700678</v>
      </c>
      <c r="J1405" s="146">
        <v>90.170068027210874</v>
      </c>
      <c r="K1405" s="445">
        <f t="shared" si="51"/>
        <v>-26.428571428571431</v>
      </c>
      <c r="L1405" s="445">
        <f t="shared" si="52"/>
        <v>-57.176870748299322</v>
      </c>
      <c r="M1405" s="445">
        <f t="shared" si="53"/>
        <v>-9.8299319727891259</v>
      </c>
    </row>
    <row r="1406" spans="1:13" ht="15" thickBot="1" x14ac:dyDescent="0.35">
      <c r="A1406" s="124" t="s">
        <v>1080</v>
      </c>
      <c r="B1406" s="629" t="s">
        <v>107</v>
      </c>
      <c r="C1406" s="629" t="s">
        <v>1057</v>
      </c>
      <c r="D1406" s="577" t="s">
        <v>1055</v>
      </c>
      <c r="E1406" s="629">
        <v>29.816326530612248</v>
      </c>
      <c r="F1406" s="577">
        <v>14.777777777777777</v>
      </c>
      <c r="G1406" s="577">
        <v>87.142857142857139</v>
      </c>
      <c r="H1406" s="577">
        <v>87.142857142857139</v>
      </c>
      <c r="I1406" s="577">
        <v>57.326530612244895</v>
      </c>
      <c r="J1406" s="577">
        <v>101.92063492063491</v>
      </c>
      <c r="K1406" s="445">
        <f t="shared" si="51"/>
        <v>-12.857142857142861</v>
      </c>
      <c r="L1406" s="445">
        <f t="shared" si="52"/>
        <v>-42.673469387755105</v>
      </c>
      <c r="M1406" s="445">
        <f t="shared" si="53"/>
        <v>1.9206349206349103</v>
      </c>
    </row>
    <row r="1407" spans="1:13" x14ac:dyDescent="0.3">
      <c r="A1407" s="124" t="s">
        <v>1080</v>
      </c>
      <c r="B1407" s="292" t="s">
        <v>109</v>
      </c>
      <c r="C1407" s="292" t="s">
        <v>1052</v>
      </c>
      <c r="D1407" s="293" t="s">
        <v>1053</v>
      </c>
      <c r="E1407" s="292">
        <v>20.16526610644258</v>
      </c>
      <c r="F1407" s="293">
        <v>17.070028011204482</v>
      </c>
      <c r="G1407" s="293">
        <v>60.714285714285715</v>
      </c>
      <c r="H1407" s="293">
        <v>60.714285714285715</v>
      </c>
      <c r="I1407" s="293">
        <v>40.549019607843135</v>
      </c>
      <c r="J1407" s="293">
        <v>77.784313725490193</v>
      </c>
      <c r="K1407" s="445">
        <f t="shared" ref="K1407:K1470" si="54">0-(100-H1407)</f>
        <v>-39.285714285714285</v>
      </c>
      <c r="L1407" s="445">
        <f t="shared" ref="L1407:L1470" si="55">0-(100-I1407)</f>
        <v>-59.450980392156865</v>
      </c>
      <c r="M1407" s="445">
        <f t="shared" ref="M1407:M1470" si="56">0-(100-J1407)</f>
        <v>-22.215686274509807</v>
      </c>
    </row>
    <row r="1408" spans="1:13" x14ac:dyDescent="0.3">
      <c r="A1408" s="124" t="s">
        <v>1080</v>
      </c>
      <c r="B1408" s="207" t="s">
        <v>109</v>
      </c>
      <c r="C1408" s="207" t="s">
        <v>1056</v>
      </c>
      <c r="D1408" s="124" t="s">
        <v>1053</v>
      </c>
      <c r="E1408" s="207">
        <v>21.076190476190476</v>
      </c>
      <c r="F1408" s="124">
        <v>10.4</v>
      </c>
      <c r="G1408" s="124">
        <v>81.142857142857139</v>
      </c>
      <c r="H1408" s="124">
        <v>81.142857142857139</v>
      </c>
      <c r="I1408" s="124">
        <v>60.066666666666663</v>
      </c>
      <c r="J1408" s="124">
        <v>91.542857142857144</v>
      </c>
      <c r="K1408" s="445">
        <f t="shared" si="54"/>
        <v>-18.857142857142861</v>
      </c>
      <c r="L1408" s="445">
        <f t="shared" si="55"/>
        <v>-39.933333333333337</v>
      </c>
      <c r="M1408" s="445">
        <f t="shared" si="56"/>
        <v>-8.4571428571428555</v>
      </c>
    </row>
    <row r="1409" spans="1:13" x14ac:dyDescent="0.3">
      <c r="A1409" s="124" t="s">
        <v>1080</v>
      </c>
      <c r="B1409" s="207" t="s">
        <v>109</v>
      </c>
      <c r="C1409" s="207" t="s">
        <v>1057</v>
      </c>
      <c r="D1409" s="124" t="s">
        <v>1053</v>
      </c>
      <c r="E1409" s="207">
        <v>0</v>
      </c>
      <c r="F1409" s="124">
        <v>0</v>
      </c>
      <c r="G1409" s="124">
        <v>100</v>
      </c>
      <c r="H1409" s="124">
        <v>100</v>
      </c>
      <c r="I1409" s="124">
        <v>100</v>
      </c>
      <c r="J1409" s="124">
        <v>100</v>
      </c>
      <c r="K1409" s="445">
        <f t="shared" si="54"/>
        <v>0</v>
      </c>
      <c r="L1409" s="445">
        <f t="shared" si="55"/>
        <v>0</v>
      </c>
      <c r="M1409" s="445">
        <f t="shared" si="56"/>
        <v>0</v>
      </c>
    </row>
    <row r="1410" spans="1:13" x14ac:dyDescent="0.3">
      <c r="A1410" s="124" t="s">
        <v>1080</v>
      </c>
      <c r="B1410" s="207" t="s">
        <v>109</v>
      </c>
      <c r="C1410" s="207" t="s">
        <v>1052</v>
      </c>
      <c r="D1410" s="146" t="s">
        <v>1054</v>
      </c>
      <c r="E1410" s="207">
        <v>21.689075630252098</v>
      </c>
      <c r="F1410" s="146">
        <v>25.532613045218085</v>
      </c>
      <c r="G1410" s="146">
        <v>41.428571428571431</v>
      </c>
      <c r="H1410" s="146">
        <v>41.428571428571431</v>
      </c>
      <c r="I1410" s="146">
        <v>19.739495798319332</v>
      </c>
      <c r="J1410" s="146">
        <v>66.961184473789515</v>
      </c>
      <c r="K1410" s="445">
        <f t="shared" si="54"/>
        <v>-58.571428571428569</v>
      </c>
      <c r="L1410" s="445">
        <f t="shared" si="55"/>
        <v>-80.260504201680675</v>
      </c>
      <c r="M1410" s="445">
        <f t="shared" si="56"/>
        <v>-33.038815526210485</v>
      </c>
    </row>
    <row r="1411" spans="1:13" x14ac:dyDescent="0.3">
      <c r="A1411" s="124" t="s">
        <v>1080</v>
      </c>
      <c r="B1411" s="207" t="s">
        <v>109</v>
      </c>
      <c r="C1411" s="207" t="s">
        <v>1056</v>
      </c>
      <c r="D1411" s="146" t="s">
        <v>1054</v>
      </c>
      <c r="E1411" s="207">
        <v>19.843014128728413</v>
      </c>
      <c r="F1411" s="146">
        <v>24.479330193615905</v>
      </c>
      <c r="G1411" s="146">
        <v>60</v>
      </c>
      <c r="H1411" s="146">
        <v>60</v>
      </c>
      <c r="I1411" s="146">
        <v>40.156985871271587</v>
      </c>
      <c r="J1411" s="146">
        <v>84.479330193615908</v>
      </c>
      <c r="K1411" s="445">
        <f t="shared" si="54"/>
        <v>-40</v>
      </c>
      <c r="L1411" s="445">
        <f t="shared" si="55"/>
        <v>-59.843014128728413</v>
      </c>
      <c r="M1411" s="445">
        <f t="shared" si="56"/>
        <v>-15.520669806384092</v>
      </c>
    </row>
    <row r="1412" spans="1:13" x14ac:dyDescent="0.3">
      <c r="A1412" s="124" t="s">
        <v>1080</v>
      </c>
      <c r="B1412" s="207" t="s">
        <v>109</v>
      </c>
      <c r="C1412" s="207" t="s">
        <v>1057</v>
      </c>
      <c r="D1412" s="124" t="s">
        <v>1054</v>
      </c>
      <c r="E1412" s="207">
        <v>19.684807256235832</v>
      </c>
      <c r="F1412" s="124">
        <v>16.188208616780042</v>
      </c>
      <c r="G1412" s="124">
        <v>85.857142857142861</v>
      </c>
      <c r="H1412" s="124">
        <v>85.857142857142861</v>
      </c>
      <c r="I1412" s="124">
        <v>66.172335600907033</v>
      </c>
      <c r="J1412" s="124">
        <v>102.04535147392291</v>
      </c>
      <c r="K1412" s="445">
        <f t="shared" si="54"/>
        <v>-14.142857142857139</v>
      </c>
      <c r="L1412" s="445">
        <f t="shared" si="55"/>
        <v>-33.827664399092967</v>
      </c>
      <c r="M1412" s="445">
        <f t="shared" si="56"/>
        <v>2.0453514739229064</v>
      </c>
    </row>
    <row r="1413" spans="1:13" x14ac:dyDescent="0.3">
      <c r="A1413" s="124" t="s">
        <v>1080</v>
      </c>
      <c r="B1413" s="207" t="s">
        <v>109</v>
      </c>
      <c r="C1413" s="207" t="s">
        <v>1052</v>
      </c>
      <c r="D1413" s="124" t="s">
        <v>1055</v>
      </c>
      <c r="E1413" s="207">
        <v>28.71748699479792</v>
      </c>
      <c r="F1413" s="124">
        <v>20.928371348539411</v>
      </c>
      <c r="G1413" s="124">
        <v>50.714285714285715</v>
      </c>
      <c r="H1413" s="124">
        <v>50.714285714285715</v>
      </c>
      <c r="I1413" s="124">
        <v>21.996798719487796</v>
      </c>
      <c r="J1413" s="124">
        <v>71.642657062825123</v>
      </c>
      <c r="K1413" s="445">
        <f t="shared" si="54"/>
        <v>-49.285714285714285</v>
      </c>
      <c r="L1413" s="445">
        <f t="shared" si="55"/>
        <v>-78.003201280512201</v>
      </c>
      <c r="M1413" s="445">
        <f t="shared" si="56"/>
        <v>-28.357342937174877</v>
      </c>
    </row>
    <row r="1414" spans="1:13" x14ac:dyDescent="0.3">
      <c r="A1414" s="124" t="s">
        <v>1080</v>
      </c>
      <c r="B1414" s="207" t="s">
        <v>109</v>
      </c>
      <c r="C1414" s="207" t="s">
        <v>1056</v>
      </c>
      <c r="D1414" s="124" t="s">
        <v>1055</v>
      </c>
      <c r="E1414" s="207">
        <v>27.07482993197279</v>
      </c>
      <c r="F1414" s="124">
        <v>19.65986394557823</v>
      </c>
      <c r="G1414" s="124">
        <v>75.714285714285708</v>
      </c>
      <c r="H1414" s="124">
        <v>75.714285714285708</v>
      </c>
      <c r="I1414" s="124">
        <v>48.639455782312922</v>
      </c>
      <c r="J1414" s="124">
        <v>95.374149659863946</v>
      </c>
      <c r="K1414" s="445">
        <f t="shared" si="54"/>
        <v>-24.285714285714292</v>
      </c>
      <c r="L1414" s="445">
        <f t="shared" si="55"/>
        <v>-51.360544217687078</v>
      </c>
      <c r="M1414" s="445">
        <f t="shared" si="56"/>
        <v>-4.6258503401360542</v>
      </c>
    </row>
    <row r="1415" spans="1:13" ht="15" thickBot="1" x14ac:dyDescent="0.35">
      <c r="A1415" s="124" t="s">
        <v>1080</v>
      </c>
      <c r="B1415" s="629" t="s">
        <v>109</v>
      </c>
      <c r="C1415" s="629" t="s">
        <v>1057</v>
      </c>
      <c r="D1415" s="577" t="s">
        <v>1055</v>
      </c>
      <c r="E1415" s="629">
        <v>29.863945578231291</v>
      </c>
      <c r="F1415" s="577">
        <v>11.668934240362812</v>
      </c>
      <c r="G1415" s="577">
        <v>90</v>
      </c>
      <c r="H1415" s="577">
        <v>90</v>
      </c>
      <c r="I1415" s="577">
        <v>60.136054421768705</v>
      </c>
      <c r="J1415" s="577">
        <v>101.66893424036282</v>
      </c>
      <c r="K1415" s="445">
        <f t="shared" si="54"/>
        <v>-10</v>
      </c>
      <c r="L1415" s="445">
        <f t="shared" si="55"/>
        <v>-39.863945578231295</v>
      </c>
      <c r="M1415" s="445">
        <f t="shared" si="56"/>
        <v>1.668934240362816</v>
      </c>
    </row>
    <row r="1416" spans="1:13" x14ac:dyDescent="0.3">
      <c r="A1416" s="124" t="s">
        <v>1080</v>
      </c>
      <c r="B1416" s="292" t="s">
        <v>111</v>
      </c>
      <c r="C1416" s="292" t="s">
        <v>1052</v>
      </c>
      <c r="D1416" s="293" t="s">
        <v>1053</v>
      </c>
      <c r="E1416" s="292">
        <v>19.183673469387752</v>
      </c>
      <c r="F1416" s="293">
        <v>12.512471655328797</v>
      </c>
      <c r="G1416" s="293">
        <v>67.142857142857139</v>
      </c>
      <c r="H1416" s="293">
        <v>67.142857142857139</v>
      </c>
      <c r="I1416" s="293">
        <v>47.959183673469383</v>
      </c>
      <c r="J1416" s="293">
        <v>79.655328798185934</v>
      </c>
      <c r="K1416" s="445">
        <f t="shared" si="54"/>
        <v>-32.857142857142861</v>
      </c>
      <c r="L1416" s="445">
        <f t="shared" si="55"/>
        <v>-52.040816326530617</v>
      </c>
      <c r="M1416" s="445">
        <f t="shared" si="56"/>
        <v>-20.344671201814066</v>
      </c>
    </row>
    <row r="1417" spans="1:13" x14ac:dyDescent="0.3">
      <c r="A1417" s="124" t="s">
        <v>1080</v>
      </c>
      <c r="B1417" s="207" t="s">
        <v>111</v>
      </c>
      <c r="C1417" s="207" t="s">
        <v>1056</v>
      </c>
      <c r="D1417" s="124" t="s">
        <v>1053</v>
      </c>
      <c r="E1417" s="207">
        <v>17.559823929571827</v>
      </c>
      <c r="F1417" s="124">
        <v>11.410164065626249</v>
      </c>
      <c r="G1417" s="124">
        <v>82.142857142857139</v>
      </c>
      <c r="H1417" s="124">
        <v>82.142857142857139</v>
      </c>
      <c r="I1417" s="124">
        <v>64.583033213285319</v>
      </c>
      <c r="J1417" s="124">
        <v>93.553021208483386</v>
      </c>
      <c r="K1417" s="445">
        <f t="shared" si="54"/>
        <v>-17.857142857142861</v>
      </c>
      <c r="L1417" s="445">
        <f t="shared" si="55"/>
        <v>-35.416966786714681</v>
      </c>
      <c r="M1417" s="445">
        <f t="shared" si="56"/>
        <v>-6.4469787915166137</v>
      </c>
    </row>
    <row r="1418" spans="1:13" x14ac:dyDescent="0.3">
      <c r="A1418" s="124" t="s">
        <v>1080</v>
      </c>
      <c r="B1418" s="207" t="s">
        <v>111</v>
      </c>
      <c r="C1418" s="207" t="s">
        <v>1057</v>
      </c>
      <c r="D1418" s="124" t="s">
        <v>1053</v>
      </c>
      <c r="E1418" s="207">
        <v>0</v>
      </c>
      <c r="F1418" s="124">
        <v>0</v>
      </c>
      <c r="G1418" s="124">
        <v>100</v>
      </c>
      <c r="H1418" s="124">
        <v>100</v>
      </c>
      <c r="I1418" s="124">
        <v>100</v>
      </c>
      <c r="J1418" s="124">
        <v>100</v>
      </c>
      <c r="K1418" s="445">
        <f t="shared" si="54"/>
        <v>0</v>
      </c>
      <c r="L1418" s="445">
        <f t="shared" si="55"/>
        <v>0</v>
      </c>
      <c r="M1418" s="445">
        <f t="shared" si="56"/>
        <v>0</v>
      </c>
    </row>
    <row r="1419" spans="1:13" x14ac:dyDescent="0.3">
      <c r="A1419" s="124" t="s">
        <v>1080</v>
      </c>
      <c r="B1419" s="207" t="s">
        <v>111</v>
      </c>
      <c r="C1419" s="207" t="s">
        <v>1052</v>
      </c>
      <c r="D1419" s="146" t="s">
        <v>1054</v>
      </c>
      <c r="E1419" s="207">
        <v>15.782312925170066</v>
      </c>
      <c r="F1419" s="146">
        <v>22.267573696145124</v>
      </c>
      <c r="G1419" s="146">
        <v>52.857142857142854</v>
      </c>
      <c r="H1419" s="146">
        <v>52.857142857142854</v>
      </c>
      <c r="I1419" s="146">
        <v>37.074829931972786</v>
      </c>
      <c r="J1419" s="146">
        <v>75.124716553287982</v>
      </c>
      <c r="K1419" s="445">
        <f t="shared" si="54"/>
        <v>-47.142857142857146</v>
      </c>
      <c r="L1419" s="445">
        <f t="shared" si="55"/>
        <v>-62.925170068027214</v>
      </c>
      <c r="M1419" s="445">
        <f t="shared" si="56"/>
        <v>-24.875283446712018</v>
      </c>
    </row>
    <row r="1420" spans="1:13" x14ac:dyDescent="0.3">
      <c r="A1420" s="124" t="s">
        <v>1080</v>
      </c>
      <c r="B1420" s="207" t="s">
        <v>111</v>
      </c>
      <c r="C1420" s="207" t="s">
        <v>1056</v>
      </c>
      <c r="D1420" s="124" t="s">
        <v>1054</v>
      </c>
      <c r="E1420" s="207">
        <v>18.083633453381353</v>
      </c>
      <c r="F1420" s="124">
        <v>13.870748299319727</v>
      </c>
      <c r="G1420" s="124">
        <v>71.428571428571431</v>
      </c>
      <c r="H1420" s="124">
        <v>71.428571428571431</v>
      </c>
      <c r="I1420" s="124">
        <v>53.344937975190078</v>
      </c>
      <c r="J1420" s="124">
        <v>85.299319727891159</v>
      </c>
      <c r="K1420" s="445">
        <f t="shared" si="54"/>
        <v>-28.571428571428569</v>
      </c>
      <c r="L1420" s="445">
        <f t="shared" si="55"/>
        <v>-46.655062024809922</v>
      </c>
      <c r="M1420" s="445">
        <f t="shared" si="56"/>
        <v>-14.700680272108841</v>
      </c>
    </row>
    <row r="1421" spans="1:13" x14ac:dyDescent="0.3">
      <c r="A1421" s="124" t="s">
        <v>1080</v>
      </c>
      <c r="B1421" s="207" t="s">
        <v>111</v>
      </c>
      <c r="C1421" s="207" t="s">
        <v>1057</v>
      </c>
      <c r="D1421" s="146" t="s">
        <v>1054</v>
      </c>
      <c r="E1421" s="207">
        <v>11.163595262666471</v>
      </c>
      <c r="F1421" s="146">
        <v>5.852474323062558</v>
      </c>
      <c r="G1421" s="146">
        <v>96</v>
      </c>
      <c r="H1421" s="146">
        <v>96</v>
      </c>
      <c r="I1421" s="146">
        <v>84.836404737333524</v>
      </c>
      <c r="J1421" s="146">
        <v>101.85247432306255</v>
      </c>
      <c r="K1421" s="445">
        <f t="shared" si="54"/>
        <v>-4</v>
      </c>
      <c r="L1421" s="445">
        <f t="shared" si="55"/>
        <v>-15.163595262666476</v>
      </c>
      <c r="M1421" s="445">
        <f t="shared" si="56"/>
        <v>1.8524743230625518</v>
      </c>
    </row>
    <row r="1422" spans="1:13" x14ac:dyDescent="0.3">
      <c r="A1422" s="124" t="s">
        <v>1080</v>
      </c>
      <c r="B1422" s="207" t="s">
        <v>111</v>
      </c>
      <c r="C1422" s="207" t="s">
        <v>1052</v>
      </c>
      <c r="D1422" s="124" t="s">
        <v>1055</v>
      </c>
      <c r="E1422" s="207">
        <v>29.263038548752832</v>
      </c>
      <c r="F1422" s="124">
        <v>9.965986394557822</v>
      </c>
      <c r="G1422" s="124">
        <v>74.285714285714292</v>
      </c>
      <c r="H1422" s="124">
        <v>74.285714285714292</v>
      </c>
      <c r="I1422" s="124">
        <v>45.02267573696146</v>
      </c>
      <c r="J1422" s="124">
        <v>84.251700680272108</v>
      </c>
      <c r="K1422" s="445">
        <f t="shared" si="54"/>
        <v>-25.714285714285708</v>
      </c>
      <c r="L1422" s="445">
        <f t="shared" si="55"/>
        <v>-54.97732426303854</v>
      </c>
      <c r="M1422" s="445">
        <f t="shared" si="56"/>
        <v>-15.748299319727892</v>
      </c>
    </row>
    <row r="1423" spans="1:13" x14ac:dyDescent="0.3">
      <c r="A1423" s="124" t="s">
        <v>1080</v>
      </c>
      <c r="B1423" s="207" t="s">
        <v>111</v>
      </c>
      <c r="C1423" s="207" t="s">
        <v>1056</v>
      </c>
      <c r="D1423" s="124" t="s">
        <v>1055</v>
      </c>
      <c r="E1423" s="207">
        <v>16.499799919967987</v>
      </c>
      <c r="F1423" s="124">
        <v>11.356942777110843</v>
      </c>
      <c r="G1423" s="124">
        <v>84.285714285714292</v>
      </c>
      <c r="H1423" s="124">
        <v>84.285714285714292</v>
      </c>
      <c r="I1423" s="124">
        <v>67.785914365746308</v>
      </c>
      <c r="J1423" s="124">
        <v>95.642657062825137</v>
      </c>
      <c r="K1423" s="445">
        <f t="shared" si="54"/>
        <v>-15.714285714285708</v>
      </c>
      <c r="L1423" s="445">
        <f t="shared" si="55"/>
        <v>-32.214085634253692</v>
      </c>
      <c r="M1423" s="445">
        <f t="shared" si="56"/>
        <v>-4.3573429371748631</v>
      </c>
    </row>
    <row r="1424" spans="1:13" ht="15" thickBot="1" x14ac:dyDescent="0.35">
      <c r="A1424" s="124" t="s">
        <v>1080</v>
      </c>
      <c r="B1424" s="629" t="s">
        <v>111</v>
      </c>
      <c r="C1424" s="629" t="s">
        <v>1057</v>
      </c>
      <c r="D1424" s="577" t="s">
        <v>1055</v>
      </c>
      <c r="E1424" s="629">
        <v>9.3433583959899718</v>
      </c>
      <c r="F1424" s="577">
        <v>6.1042803086146735</v>
      </c>
      <c r="G1424" s="577">
        <v>93.857142857142861</v>
      </c>
      <c r="H1424" s="577">
        <v>93.857142857142861</v>
      </c>
      <c r="I1424" s="577">
        <v>84.513784461152895</v>
      </c>
      <c r="J1424" s="577">
        <v>99.961423165757537</v>
      </c>
      <c r="K1424" s="445">
        <f t="shared" si="54"/>
        <v>-6.1428571428571388</v>
      </c>
      <c r="L1424" s="445">
        <f t="shared" si="55"/>
        <v>-15.486215538847105</v>
      </c>
      <c r="M1424" s="445">
        <f t="shared" si="56"/>
        <v>-3.857683424246261E-2</v>
      </c>
    </row>
    <row r="1425" spans="1:13" x14ac:dyDescent="0.3">
      <c r="A1425" s="124" t="s">
        <v>1080</v>
      </c>
      <c r="B1425" s="292" t="s">
        <v>113</v>
      </c>
      <c r="C1425" s="292" t="s">
        <v>1052</v>
      </c>
      <c r="D1425" s="293" t="s">
        <v>1053</v>
      </c>
      <c r="E1425" s="292">
        <v>21.416966786714681</v>
      </c>
      <c r="F1425" s="293">
        <v>17.845538215286116</v>
      </c>
      <c r="G1425" s="293">
        <v>62.857142857142854</v>
      </c>
      <c r="H1425" s="293">
        <v>62.857142857142854</v>
      </c>
      <c r="I1425" s="293">
        <v>41.440176070428173</v>
      </c>
      <c r="J1425" s="293">
        <v>80.702681072428973</v>
      </c>
      <c r="K1425" s="445">
        <f t="shared" si="54"/>
        <v>-37.142857142857146</v>
      </c>
      <c r="L1425" s="445">
        <f t="shared" si="55"/>
        <v>-58.559823929571827</v>
      </c>
      <c r="M1425" s="445">
        <f t="shared" si="56"/>
        <v>-19.297318927571027</v>
      </c>
    </row>
    <row r="1426" spans="1:13" x14ac:dyDescent="0.3">
      <c r="A1426" s="124" t="s">
        <v>1080</v>
      </c>
      <c r="B1426" s="207" t="s">
        <v>113</v>
      </c>
      <c r="C1426" s="207" t="s">
        <v>1056</v>
      </c>
      <c r="D1426" s="146" t="s">
        <v>1053</v>
      </c>
      <c r="E1426" s="207">
        <v>14.285714285714286</v>
      </c>
      <c r="F1426" s="146">
        <v>15.095238095238093</v>
      </c>
      <c r="G1426" s="146">
        <v>77.142857142857139</v>
      </c>
      <c r="H1426" s="146">
        <v>77.142857142857139</v>
      </c>
      <c r="I1426" s="146">
        <v>62.857142857142854</v>
      </c>
      <c r="J1426" s="146">
        <v>92.238095238095227</v>
      </c>
      <c r="K1426" s="445">
        <f t="shared" si="54"/>
        <v>-22.857142857142861</v>
      </c>
      <c r="L1426" s="445">
        <f t="shared" si="55"/>
        <v>-37.142857142857146</v>
      </c>
      <c r="M1426" s="445">
        <f t="shared" si="56"/>
        <v>-7.7619047619047734</v>
      </c>
    </row>
    <row r="1427" spans="1:13" x14ac:dyDescent="0.3">
      <c r="A1427" s="124" t="s">
        <v>1080</v>
      </c>
      <c r="B1427" s="207" t="s">
        <v>113</v>
      </c>
      <c r="C1427" s="207" t="s">
        <v>1057</v>
      </c>
      <c r="D1427" s="146" t="s">
        <v>1053</v>
      </c>
      <c r="E1427" s="207">
        <v>0</v>
      </c>
      <c r="F1427" s="146">
        <v>0</v>
      </c>
      <c r="G1427" s="146">
        <v>100</v>
      </c>
      <c r="H1427" s="146">
        <v>100</v>
      </c>
      <c r="I1427" s="146">
        <v>100</v>
      </c>
      <c r="J1427" s="146">
        <v>100</v>
      </c>
      <c r="K1427" s="445">
        <f t="shared" si="54"/>
        <v>0</v>
      </c>
      <c r="L1427" s="445">
        <f t="shared" si="55"/>
        <v>0</v>
      </c>
      <c r="M1427" s="445">
        <f t="shared" si="56"/>
        <v>0</v>
      </c>
    </row>
    <row r="1428" spans="1:13" x14ac:dyDescent="0.3">
      <c r="A1428" s="124" t="s">
        <v>1080</v>
      </c>
      <c r="B1428" s="207" t="s">
        <v>113</v>
      </c>
      <c r="C1428" s="207" t="s">
        <v>1052</v>
      </c>
      <c r="D1428" s="146" t="s">
        <v>1054</v>
      </c>
      <c r="E1428" s="207">
        <v>29.17206882753101</v>
      </c>
      <c r="F1428" s="124">
        <v>16.539415766306522</v>
      </c>
      <c r="G1428" s="124">
        <v>49.285714285714285</v>
      </c>
      <c r="H1428" s="124">
        <v>49.285714285714285</v>
      </c>
      <c r="I1428" s="124">
        <v>20.113645458183274</v>
      </c>
      <c r="J1428" s="124">
        <v>65.82513005202081</v>
      </c>
      <c r="K1428" s="445">
        <f t="shared" si="54"/>
        <v>-50.714285714285715</v>
      </c>
      <c r="L1428" s="445">
        <f t="shared" si="55"/>
        <v>-79.886354541816729</v>
      </c>
      <c r="M1428" s="445">
        <f t="shared" si="56"/>
        <v>-34.17486994797919</v>
      </c>
    </row>
    <row r="1429" spans="1:13" x14ac:dyDescent="0.3">
      <c r="A1429" s="124" t="s">
        <v>1080</v>
      </c>
      <c r="B1429" s="207" t="s">
        <v>113</v>
      </c>
      <c r="C1429" s="207" t="s">
        <v>1056</v>
      </c>
      <c r="D1429" s="124" t="s">
        <v>1054</v>
      </c>
      <c r="E1429" s="207">
        <v>24.238095238095237</v>
      </c>
      <c r="F1429" s="124">
        <v>15.904761904761903</v>
      </c>
      <c r="G1429" s="124">
        <v>70</v>
      </c>
      <c r="H1429" s="124">
        <v>70</v>
      </c>
      <c r="I1429" s="124">
        <v>45.761904761904759</v>
      </c>
      <c r="J1429" s="124">
        <v>85.904761904761898</v>
      </c>
      <c r="K1429" s="445">
        <f t="shared" si="54"/>
        <v>-30</v>
      </c>
      <c r="L1429" s="445">
        <f t="shared" si="55"/>
        <v>-54.238095238095241</v>
      </c>
      <c r="M1429" s="445">
        <f t="shared" si="56"/>
        <v>-14.095238095238102</v>
      </c>
    </row>
    <row r="1430" spans="1:13" x14ac:dyDescent="0.3">
      <c r="A1430" s="124" t="s">
        <v>1080</v>
      </c>
      <c r="B1430" s="207" t="s">
        <v>113</v>
      </c>
      <c r="C1430" s="207" t="s">
        <v>1057</v>
      </c>
      <c r="D1430" s="146" t="s">
        <v>1054</v>
      </c>
      <c r="E1430" s="207">
        <v>12.921589688506982</v>
      </c>
      <c r="F1430" s="146">
        <v>3.8262322472848789</v>
      </c>
      <c r="G1430" s="146">
        <v>95.285714285714292</v>
      </c>
      <c r="H1430" s="146">
        <v>95.285714285714292</v>
      </c>
      <c r="I1430" s="146">
        <v>82.364124597207308</v>
      </c>
      <c r="J1430" s="146">
        <v>99.11194653299917</v>
      </c>
      <c r="K1430" s="445">
        <f t="shared" si="54"/>
        <v>-4.7142857142857082</v>
      </c>
      <c r="L1430" s="445">
        <f t="shared" si="55"/>
        <v>-17.635875402792692</v>
      </c>
      <c r="M1430" s="445">
        <f t="shared" si="56"/>
        <v>-0.88805346700083021</v>
      </c>
    </row>
    <row r="1431" spans="1:13" x14ac:dyDescent="0.3">
      <c r="A1431" s="124" t="s">
        <v>1080</v>
      </c>
      <c r="B1431" s="207" t="s">
        <v>113</v>
      </c>
      <c r="C1431" s="207" t="s">
        <v>1052</v>
      </c>
      <c r="D1431" s="146" t="s">
        <v>1055</v>
      </c>
      <c r="E1431" s="207">
        <v>37.970388155262093</v>
      </c>
      <c r="F1431" s="146">
        <v>18.580232092837132</v>
      </c>
      <c r="G1431" s="146">
        <v>59.285714285714285</v>
      </c>
      <c r="H1431" s="146">
        <v>59.285714285714285</v>
      </c>
      <c r="I1431" s="146">
        <v>21.315326130452192</v>
      </c>
      <c r="J1431" s="146">
        <v>77.865946378551413</v>
      </c>
      <c r="K1431" s="445">
        <f t="shared" si="54"/>
        <v>-40.714285714285715</v>
      </c>
      <c r="L1431" s="445">
        <f t="shared" si="55"/>
        <v>-78.684673869547808</v>
      </c>
      <c r="M1431" s="445">
        <f t="shared" si="56"/>
        <v>-22.134053621448587</v>
      </c>
    </row>
    <row r="1432" spans="1:13" x14ac:dyDescent="0.3">
      <c r="A1432" s="124" t="s">
        <v>1080</v>
      </c>
      <c r="B1432" s="207" t="s">
        <v>113</v>
      </c>
      <c r="C1432" s="207" t="s">
        <v>1056</v>
      </c>
      <c r="D1432" s="124" t="s">
        <v>1055</v>
      </c>
      <c r="E1432" s="207">
        <v>22.448979591836736</v>
      </c>
      <c r="F1432" s="124">
        <v>18.027210884353739</v>
      </c>
      <c r="G1432" s="124">
        <v>80</v>
      </c>
      <c r="H1432" s="124">
        <v>80</v>
      </c>
      <c r="I1432" s="124">
        <v>57.551020408163268</v>
      </c>
      <c r="J1432" s="124">
        <v>98.027210884353735</v>
      </c>
      <c r="K1432" s="445">
        <f t="shared" si="54"/>
        <v>-20</v>
      </c>
      <c r="L1432" s="445">
        <f t="shared" si="55"/>
        <v>-42.448979591836732</v>
      </c>
      <c r="M1432" s="445">
        <f t="shared" si="56"/>
        <v>-1.9727891156462647</v>
      </c>
    </row>
    <row r="1433" spans="1:13" ht="15" thickBot="1" x14ac:dyDescent="0.35">
      <c r="A1433" s="124" t="s">
        <v>1080</v>
      </c>
      <c r="B1433" s="629" t="s">
        <v>113</v>
      </c>
      <c r="C1433" s="629" t="s">
        <v>1057</v>
      </c>
      <c r="D1433" s="577" t="s">
        <v>1055</v>
      </c>
      <c r="E1433" s="629">
        <v>12.399184235097549</v>
      </c>
      <c r="F1433" s="577">
        <v>5.1749471718511968</v>
      </c>
      <c r="G1433" s="577">
        <v>94.857142857142861</v>
      </c>
      <c r="H1433" s="577">
        <v>94.857142857142861</v>
      </c>
      <c r="I1433" s="577">
        <v>82.457958622045311</v>
      </c>
      <c r="J1433" s="577">
        <v>100.03209002899406</v>
      </c>
      <c r="K1433" s="445">
        <f t="shared" si="54"/>
        <v>-5.1428571428571388</v>
      </c>
      <c r="L1433" s="445">
        <f t="shared" si="55"/>
        <v>-17.542041377954689</v>
      </c>
      <c r="M1433" s="445">
        <f t="shared" si="56"/>
        <v>3.2090028994062436E-2</v>
      </c>
    </row>
    <row r="1434" spans="1:13" x14ac:dyDescent="0.3">
      <c r="A1434" s="124" t="s">
        <v>1080</v>
      </c>
      <c r="B1434" s="292" t="s">
        <v>115</v>
      </c>
      <c r="C1434" s="292" t="s">
        <v>1052</v>
      </c>
      <c r="D1434" s="293" t="s">
        <v>1053</v>
      </c>
      <c r="E1434" s="292">
        <v>24.12885154061625</v>
      </c>
      <c r="F1434" s="293">
        <v>9.1540616246498594</v>
      </c>
      <c r="G1434" s="293">
        <v>63.571428571428569</v>
      </c>
      <c r="H1434" s="293">
        <v>63.571428571428569</v>
      </c>
      <c r="I1434" s="293">
        <v>39.442577030812316</v>
      </c>
      <c r="J1434" s="293">
        <v>72.725490196078425</v>
      </c>
      <c r="K1434" s="445">
        <f t="shared" si="54"/>
        <v>-36.428571428571431</v>
      </c>
      <c r="L1434" s="445">
        <f t="shared" si="55"/>
        <v>-60.557422969187684</v>
      </c>
      <c r="M1434" s="445">
        <f t="shared" si="56"/>
        <v>-27.274509803921575</v>
      </c>
    </row>
    <row r="1435" spans="1:13" x14ac:dyDescent="0.3">
      <c r="A1435" s="124" t="s">
        <v>1080</v>
      </c>
      <c r="B1435" s="207" t="s">
        <v>115</v>
      </c>
      <c r="C1435" s="207" t="s">
        <v>1056</v>
      </c>
      <c r="D1435" s="146" t="s">
        <v>1053</v>
      </c>
      <c r="E1435" s="207">
        <v>21.984126984126984</v>
      </c>
      <c r="F1435" s="146">
        <v>11.34920634920635</v>
      </c>
      <c r="G1435" s="146">
        <v>80</v>
      </c>
      <c r="H1435" s="146">
        <v>80</v>
      </c>
      <c r="I1435" s="146">
        <v>58.015873015873012</v>
      </c>
      <c r="J1435" s="146">
        <v>91.349206349206355</v>
      </c>
      <c r="K1435" s="445">
        <f t="shared" si="54"/>
        <v>-20</v>
      </c>
      <c r="L1435" s="445">
        <f t="shared" si="55"/>
        <v>-41.984126984126988</v>
      </c>
      <c r="M1435" s="445">
        <f t="shared" si="56"/>
        <v>-8.6507936507936449</v>
      </c>
    </row>
    <row r="1436" spans="1:13" x14ac:dyDescent="0.3">
      <c r="A1436" s="124" t="s">
        <v>1080</v>
      </c>
      <c r="B1436" s="207" t="s">
        <v>115</v>
      </c>
      <c r="C1436" s="207" t="s">
        <v>1057</v>
      </c>
      <c r="D1436" s="146" t="s">
        <v>1053</v>
      </c>
      <c r="E1436" s="207">
        <v>0</v>
      </c>
      <c r="F1436" s="124">
        <v>0</v>
      </c>
      <c r="G1436" s="124">
        <v>100</v>
      </c>
      <c r="H1436" s="124">
        <v>100</v>
      </c>
      <c r="I1436" s="124">
        <v>100</v>
      </c>
      <c r="J1436" s="124">
        <v>100</v>
      </c>
      <c r="K1436" s="445">
        <f t="shared" si="54"/>
        <v>0</v>
      </c>
      <c r="L1436" s="445">
        <f t="shared" si="55"/>
        <v>0</v>
      </c>
      <c r="M1436" s="445">
        <f t="shared" si="56"/>
        <v>0</v>
      </c>
    </row>
    <row r="1437" spans="1:13" x14ac:dyDescent="0.3">
      <c r="A1437" s="124" t="s">
        <v>1080</v>
      </c>
      <c r="B1437" s="207" t="s">
        <v>115</v>
      </c>
      <c r="C1437" s="207" t="s">
        <v>1052</v>
      </c>
      <c r="D1437" s="124" t="s">
        <v>1054</v>
      </c>
      <c r="E1437" s="207">
        <v>21.605042016806721</v>
      </c>
      <c r="F1437" s="124">
        <v>21.106442577030808</v>
      </c>
      <c r="G1437" s="124">
        <v>42.142857142857146</v>
      </c>
      <c r="H1437" s="124">
        <v>42.142857142857146</v>
      </c>
      <c r="I1437" s="124">
        <v>20.537815126050425</v>
      </c>
      <c r="J1437" s="124">
        <v>63.249299719887958</v>
      </c>
      <c r="K1437" s="445">
        <f t="shared" si="54"/>
        <v>-57.857142857142854</v>
      </c>
      <c r="L1437" s="445">
        <f t="shared" si="55"/>
        <v>-79.462184873949582</v>
      </c>
      <c r="M1437" s="445">
        <f t="shared" si="56"/>
        <v>-36.750700280112042</v>
      </c>
    </row>
    <row r="1438" spans="1:13" x14ac:dyDescent="0.3">
      <c r="A1438" s="124" t="s">
        <v>1080</v>
      </c>
      <c r="B1438" s="207" t="s">
        <v>115</v>
      </c>
      <c r="C1438" s="207" t="s">
        <v>1056</v>
      </c>
      <c r="D1438" s="124" t="s">
        <v>1054</v>
      </c>
      <c r="E1438" s="207">
        <v>21.904761904761902</v>
      </c>
      <c r="F1438" s="124">
        <v>23.714285714285715</v>
      </c>
      <c r="G1438" s="124">
        <v>60.714285714285715</v>
      </c>
      <c r="H1438" s="124">
        <v>60.714285714285715</v>
      </c>
      <c r="I1438" s="124">
        <v>38.80952380952381</v>
      </c>
      <c r="J1438" s="124">
        <v>84.428571428571431</v>
      </c>
      <c r="K1438" s="445">
        <f t="shared" si="54"/>
        <v>-39.285714285714285</v>
      </c>
      <c r="L1438" s="445">
        <f t="shared" si="55"/>
        <v>-61.19047619047619</v>
      </c>
      <c r="M1438" s="445">
        <f t="shared" si="56"/>
        <v>-15.571428571428569</v>
      </c>
    </row>
    <row r="1439" spans="1:13" x14ac:dyDescent="0.3">
      <c r="A1439" s="124" t="s">
        <v>1080</v>
      </c>
      <c r="B1439" s="207" t="s">
        <v>115</v>
      </c>
      <c r="C1439" s="207" t="s">
        <v>1057</v>
      </c>
      <c r="D1439" s="146" t="s">
        <v>1054</v>
      </c>
      <c r="E1439" s="207">
        <v>13.32986527944511</v>
      </c>
      <c r="F1439" s="146">
        <v>12.942110177404292</v>
      </c>
      <c r="G1439" s="146">
        <v>84.714285714285708</v>
      </c>
      <c r="H1439" s="146">
        <v>84.714285714285708</v>
      </c>
      <c r="I1439" s="146">
        <v>71.384420434840592</v>
      </c>
      <c r="J1439" s="146">
        <v>97.656395891689996</v>
      </c>
      <c r="K1439" s="445">
        <f t="shared" si="54"/>
        <v>-15.285714285714292</v>
      </c>
      <c r="L1439" s="445">
        <f t="shared" si="55"/>
        <v>-28.615579565159408</v>
      </c>
      <c r="M1439" s="445">
        <f t="shared" si="56"/>
        <v>-2.3436041083100037</v>
      </c>
    </row>
    <row r="1440" spans="1:13" x14ac:dyDescent="0.3">
      <c r="A1440" s="124" t="s">
        <v>1080</v>
      </c>
      <c r="B1440" s="207" t="s">
        <v>115</v>
      </c>
      <c r="C1440" s="207" t="s">
        <v>1052</v>
      </c>
      <c r="D1440" s="146" t="s">
        <v>1055</v>
      </c>
      <c r="E1440" s="207">
        <v>32.296918767507002</v>
      </c>
      <c r="F1440" s="146">
        <v>21.725490196078432</v>
      </c>
      <c r="G1440" s="146">
        <v>47.857142857142854</v>
      </c>
      <c r="H1440" s="146">
        <v>47.857142857142854</v>
      </c>
      <c r="I1440" s="146">
        <v>15.560224089635852</v>
      </c>
      <c r="J1440" s="146">
        <v>69.582633053221286</v>
      </c>
      <c r="K1440" s="445">
        <f t="shared" si="54"/>
        <v>-52.142857142857146</v>
      </c>
      <c r="L1440" s="445">
        <f t="shared" si="55"/>
        <v>-84.439775910364148</v>
      </c>
      <c r="M1440" s="445">
        <f t="shared" si="56"/>
        <v>-30.417366946778714</v>
      </c>
    </row>
    <row r="1441" spans="1:13" x14ac:dyDescent="0.3">
      <c r="A1441" s="124" t="s">
        <v>1080</v>
      </c>
      <c r="B1441" s="207" t="s">
        <v>115</v>
      </c>
      <c r="C1441" s="207" t="s">
        <v>1056</v>
      </c>
      <c r="D1441" s="124" t="s">
        <v>1055</v>
      </c>
      <c r="E1441" s="207">
        <v>27.224489795918366</v>
      </c>
      <c r="F1441" s="124">
        <v>25.068027210884356</v>
      </c>
      <c r="G1441" s="124">
        <v>61.714285714285715</v>
      </c>
      <c r="H1441" s="124">
        <v>61.714285714285715</v>
      </c>
      <c r="I1441" s="124">
        <v>34.489795918367349</v>
      </c>
      <c r="J1441" s="124">
        <v>86.782312925170075</v>
      </c>
      <c r="K1441" s="445">
        <f t="shared" si="54"/>
        <v>-38.285714285714285</v>
      </c>
      <c r="L1441" s="445">
        <f t="shared" si="55"/>
        <v>-65.510204081632651</v>
      </c>
      <c r="M1441" s="445">
        <f t="shared" si="56"/>
        <v>-13.217687074829925</v>
      </c>
    </row>
    <row r="1442" spans="1:13" ht="15" thickBot="1" x14ac:dyDescent="0.35">
      <c r="A1442" s="124" t="s">
        <v>1080</v>
      </c>
      <c r="B1442" s="629" t="s">
        <v>115</v>
      </c>
      <c r="C1442" s="629" t="s">
        <v>1057</v>
      </c>
      <c r="D1442" s="577" t="s">
        <v>1055</v>
      </c>
      <c r="E1442" s="629">
        <v>18.751633986928102</v>
      </c>
      <c r="F1442" s="577">
        <v>15.884220354808591</v>
      </c>
      <c r="G1442" s="577">
        <v>75.285714285714292</v>
      </c>
      <c r="H1442" s="577">
        <v>75.285714285714292</v>
      </c>
      <c r="I1442" s="577">
        <v>56.534080298786193</v>
      </c>
      <c r="J1442" s="577">
        <v>91.169934640522882</v>
      </c>
      <c r="K1442" s="445">
        <f t="shared" si="54"/>
        <v>-24.714285714285708</v>
      </c>
      <c r="L1442" s="445">
        <f t="shared" si="55"/>
        <v>-43.465919701213807</v>
      </c>
      <c r="M1442" s="445">
        <f t="shared" si="56"/>
        <v>-8.8300653594771177</v>
      </c>
    </row>
    <row r="1443" spans="1:13" x14ac:dyDescent="0.3">
      <c r="A1443" s="124" t="s">
        <v>1080</v>
      </c>
      <c r="B1443" s="292" t="s">
        <v>117</v>
      </c>
      <c r="C1443" s="292" t="s">
        <v>1052</v>
      </c>
      <c r="D1443" s="293" t="s">
        <v>1053</v>
      </c>
      <c r="E1443" s="292">
        <v>31.475790316126446</v>
      </c>
      <c r="F1443" s="293">
        <v>16.446578631452578</v>
      </c>
      <c r="G1443" s="293">
        <v>53.571428571428569</v>
      </c>
      <c r="H1443" s="293">
        <v>53.571428571428569</v>
      </c>
      <c r="I1443" s="293">
        <v>22.095638255302124</v>
      </c>
      <c r="J1443" s="293">
        <v>70.018007202881151</v>
      </c>
      <c r="K1443" s="445">
        <f t="shared" si="54"/>
        <v>-46.428571428571431</v>
      </c>
      <c r="L1443" s="445">
        <f t="shared" si="55"/>
        <v>-77.90436174469788</v>
      </c>
      <c r="M1443" s="445">
        <f t="shared" si="56"/>
        <v>-29.981992797118849</v>
      </c>
    </row>
    <row r="1444" spans="1:13" x14ac:dyDescent="0.3">
      <c r="A1444" s="124" t="s">
        <v>1080</v>
      </c>
      <c r="B1444" s="207" t="s">
        <v>117</v>
      </c>
      <c r="C1444" s="207" t="s">
        <v>1056</v>
      </c>
      <c r="D1444" s="146" t="s">
        <v>1053</v>
      </c>
      <c r="E1444" s="207">
        <v>29.475143903715331</v>
      </c>
      <c r="F1444" s="146">
        <v>14.043432757718472</v>
      </c>
      <c r="G1444" s="146">
        <v>72.142857142857139</v>
      </c>
      <c r="H1444" s="146">
        <v>72.142857142857139</v>
      </c>
      <c r="I1444" s="146">
        <v>42.667713239141804</v>
      </c>
      <c r="J1444" s="146">
        <v>86.186289900575616</v>
      </c>
      <c r="K1444" s="445">
        <f t="shared" si="54"/>
        <v>-27.857142857142861</v>
      </c>
      <c r="L1444" s="445">
        <f t="shared" si="55"/>
        <v>-57.332286760858196</v>
      </c>
      <c r="M1444" s="445">
        <f t="shared" si="56"/>
        <v>-13.813710099424384</v>
      </c>
    </row>
    <row r="1445" spans="1:13" x14ac:dyDescent="0.3">
      <c r="A1445" s="124" t="s">
        <v>1080</v>
      </c>
      <c r="B1445" s="207" t="s">
        <v>117</v>
      </c>
      <c r="C1445" s="207" t="s">
        <v>1057</v>
      </c>
      <c r="D1445" s="146" t="s">
        <v>1053</v>
      </c>
      <c r="E1445" s="207">
        <v>0</v>
      </c>
      <c r="F1445" s="146">
        <v>0</v>
      </c>
      <c r="G1445" s="146">
        <v>100</v>
      </c>
      <c r="H1445" s="146">
        <v>100</v>
      </c>
      <c r="I1445" s="146">
        <v>100</v>
      </c>
      <c r="J1445" s="146">
        <v>100</v>
      </c>
      <c r="K1445" s="445">
        <f t="shared" si="54"/>
        <v>0</v>
      </c>
      <c r="L1445" s="445">
        <f t="shared" si="55"/>
        <v>0</v>
      </c>
      <c r="M1445" s="445">
        <f t="shared" si="56"/>
        <v>0</v>
      </c>
    </row>
    <row r="1446" spans="1:13" x14ac:dyDescent="0.3">
      <c r="A1446" s="124" t="s">
        <v>1080</v>
      </c>
      <c r="B1446" s="207" t="s">
        <v>117</v>
      </c>
      <c r="C1446" s="207" t="s">
        <v>1052</v>
      </c>
      <c r="D1446" s="146" t="s">
        <v>1054</v>
      </c>
      <c r="E1446" s="207">
        <v>27.047218887555015</v>
      </c>
      <c r="F1446" s="124">
        <v>22.589435774309724</v>
      </c>
      <c r="G1446" s="124">
        <v>44.285714285714285</v>
      </c>
      <c r="H1446" s="124">
        <v>44.285714285714285</v>
      </c>
      <c r="I1446" s="124">
        <v>17.238495398159269</v>
      </c>
      <c r="J1446" s="124">
        <v>66.875150060024012</v>
      </c>
      <c r="K1446" s="445">
        <f t="shared" si="54"/>
        <v>-55.714285714285715</v>
      </c>
      <c r="L1446" s="445">
        <f t="shared" si="55"/>
        <v>-82.761504601840727</v>
      </c>
      <c r="M1446" s="445">
        <f t="shared" si="56"/>
        <v>-33.124849939975988</v>
      </c>
    </row>
    <row r="1447" spans="1:13" x14ac:dyDescent="0.3">
      <c r="A1447" s="124" t="s">
        <v>1080</v>
      </c>
      <c r="B1447" s="207" t="s">
        <v>117</v>
      </c>
      <c r="C1447" s="207" t="s">
        <v>1056</v>
      </c>
      <c r="D1447" s="146" t="s">
        <v>1054</v>
      </c>
      <c r="E1447" s="207">
        <v>23.526425954997382</v>
      </c>
      <c r="F1447" s="146">
        <v>23.186289900575613</v>
      </c>
      <c r="G1447" s="146">
        <v>62.857142857142854</v>
      </c>
      <c r="H1447" s="146">
        <v>62.857142857142854</v>
      </c>
      <c r="I1447" s="146">
        <v>39.330716902145468</v>
      </c>
      <c r="J1447" s="146">
        <v>86.043432757718463</v>
      </c>
      <c r="K1447" s="445">
        <f t="shared" si="54"/>
        <v>-37.142857142857146</v>
      </c>
      <c r="L1447" s="445">
        <f t="shared" si="55"/>
        <v>-60.669283097854532</v>
      </c>
      <c r="M1447" s="445">
        <f t="shared" si="56"/>
        <v>-13.956567242281537</v>
      </c>
    </row>
    <row r="1448" spans="1:13" x14ac:dyDescent="0.3">
      <c r="A1448" s="124" t="s">
        <v>1080</v>
      </c>
      <c r="B1448" s="207" t="s">
        <v>117</v>
      </c>
      <c r="C1448" s="207" t="s">
        <v>1057</v>
      </c>
      <c r="D1448" s="124" t="s">
        <v>1054</v>
      </c>
      <c r="E1448" s="207">
        <v>19.385313099598815</v>
      </c>
      <c r="F1448" s="124">
        <v>16.937728937728934</v>
      </c>
      <c r="G1448" s="124">
        <v>85.285714285714292</v>
      </c>
      <c r="H1448" s="124">
        <v>85.285714285714292</v>
      </c>
      <c r="I1448" s="124">
        <v>65.900401186115474</v>
      </c>
      <c r="J1448" s="124">
        <v>102.22344322344323</v>
      </c>
      <c r="K1448" s="445">
        <f t="shared" si="54"/>
        <v>-14.714285714285708</v>
      </c>
      <c r="L1448" s="445">
        <f t="shared" si="55"/>
        <v>-34.099598813884526</v>
      </c>
      <c r="M1448" s="445">
        <f t="shared" si="56"/>
        <v>2.2234432234432262</v>
      </c>
    </row>
    <row r="1449" spans="1:13" x14ac:dyDescent="0.3">
      <c r="A1449" s="124" t="s">
        <v>1080</v>
      </c>
      <c r="B1449" s="207" t="s">
        <v>117</v>
      </c>
      <c r="C1449" s="207" t="s">
        <v>1052</v>
      </c>
      <c r="D1449" s="146" t="s">
        <v>1055</v>
      </c>
      <c r="E1449" s="207">
        <v>34.983993597438975</v>
      </c>
      <c r="F1449" s="146">
        <v>22.875150060024009</v>
      </c>
      <c r="G1449" s="146">
        <v>55</v>
      </c>
      <c r="H1449" s="146">
        <v>55</v>
      </c>
      <c r="I1449" s="146">
        <v>20.016006402561025</v>
      </c>
      <c r="J1449" s="146">
        <v>77.875150060024012</v>
      </c>
      <c r="K1449" s="445">
        <f t="shared" si="54"/>
        <v>-45</v>
      </c>
      <c r="L1449" s="445">
        <f t="shared" si="55"/>
        <v>-79.983993597438968</v>
      </c>
      <c r="M1449" s="445">
        <f t="shared" si="56"/>
        <v>-22.124849939975988</v>
      </c>
    </row>
    <row r="1450" spans="1:13" x14ac:dyDescent="0.3">
      <c r="A1450" s="124" t="s">
        <v>1080</v>
      </c>
      <c r="B1450" s="207" t="s">
        <v>117</v>
      </c>
      <c r="C1450" s="207" t="s">
        <v>1056</v>
      </c>
      <c r="D1450" s="124" t="s">
        <v>1055</v>
      </c>
      <c r="E1450" s="207">
        <v>34.1548927263213</v>
      </c>
      <c r="F1450" s="124">
        <v>18.403976975405548</v>
      </c>
      <c r="G1450" s="124">
        <v>76.428571428571431</v>
      </c>
      <c r="H1450" s="124">
        <v>76.428571428571431</v>
      </c>
      <c r="I1450" s="124">
        <v>42.27367870225013</v>
      </c>
      <c r="J1450" s="124">
        <v>94.832548403976972</v>
      </c>
      <c r="K1450" s="445">
        <f t="shared" si="54"/>
        <v>-23.571428571428569</v>
      </c>
      <c r="L1450" s="445">
        <f t="shared" si="55"/>
        <v>-57.72632129774987</v>
      </c>
      <c r="M1450" s="445">
        <f t="shared" si="56"/>
        <v>-5.1674515960230281</v>
      </c>
    </row>
    <row r="1451" spans="1:13" ht="15" thickBot="1" x14ac:dyDescent="0.35">
      <c r="A1451" s="124" t="s">
        <v>1080</v>
      </c>
      <c r="B1451" s="629" t="s">
        <v>117</v>
      </c>
      <c r="C1451" s="629" t="s">
        <v>1057</v>
      </c>
      <c r="D1451" s="577" t="s">
        <v>1055</v>
      </c>
      <c r="E1451" s="629">
        <v>29.536450477626946</v>
      </c>
      <c r="F1451" s="577">
        <v>12.397040867629103</v>
      </c>
      <c r="G1451" s="577">
        <v>89.571428571428569</v>
      </c>
      <c r="H1451" s="577">
        <v>89.571428571428569</v>
      </c>
      <c r="I1451" s="577">
        <v>60.034978093801627</v>
      </c>
      <c r="J1451" s="577">
        <v>101.96846943905767</v>
      </c>
      <c r="K1451" s="445">
        <f t="shared" si="54"/>
        <v>-10.428571428571431</v>
      </c>
      <c r="L1451" s="445">
        <f t="shared" si="55"/>
        <v>-39.965021906198373</v>
      </c>
      <c r="M1451" s="445">
        <f t="shared" si="56"/>
        <v>1.9684694390576709</v>
      </c>
    </row>
    <row r="1452" spans="1:13" x14ac:dyDescent="0.3">
      <c r="A1452" s="124" t="s">
        <v>1080</v>
      </c>
      <c r="B1452" s="292" t="s">
        <v>119</v>
      </c>
      <c r="C1452" s="292" t="s">
        <v>1052</v>
      </c>
      <c r="D1452" s="293" t="s">
        <v>1053</v>
      </c>
      <c r="E1452" s="292">
        <v>24.675470188075227</v>
      </c>
      <c r="F1452" s="293">
        <v>15.723089235694276</v>
      </c>
      <c r="G1452" s="293">
        <v>67.857142857142861</v>
      </c>
      <c r="H1452" s="293">
        <v>67.857142857142861</v>
      </c>
      <c r="I1452" s="293">
        <v>43.181672669067638</v>
      </c>
      <c r="J1452" s="293">
        <v>83.580232092837136</v>
      </c>
      <c r="K1452" s="445">
        <f t="shared" si="54"/>
        <v>-32.142857142857139</v>
      </c>
      <c r="L1452" s="445">
        <f t="shared" si="55"/>
        <v>-56.818327330932362</v>
      </c>
      <c r="M1452" s="445">
        <f t="shared" si="56"/>
        <v>-16.419767907162864</v>
      </c>
    </row>
    <row r="1453" spans="1:13" x14ac:dyDescent="0.3">
      <c r="A1453" s="124" t="s">
        <v>1080</v>
      </c>
      <c r="B1453" s="207" t="s">
        <v>119</v>
      </c>
      <c r="C1453" s="207" t="s">
        <v>1056</v>
      </c>
      <c r="D1453" s="146" t="s">
        <v>1053</v>
      </c>
      <c r="E1453" s="207">
        <v>19.95918367346939</v>
      </c>
      <c r="F1453" s="146">
        <v>10.340136054421766</v>
      </c>
      <c r="G1453" s="146">
        <v>85</v>
      </c>
      <c r="H1453" s="146">
        <v>85</v>
      </c>
      <c r="I1453" s="146">
        <v>65.040816326530603</v>
      </c>
      <c r="J1453" s="146">
        <v>95.340136054421762</v>
      </c>
      <c r="K1453" s="445">
        <f t="shared" si="54"/>
        <v>-15</v>
      </c>
      <c r="L1453" s="445">
        <f t="shared" si="55"/>
        <v>-34.959183673469397</v>
      </c>
      <c r="M1453" s="445">
        <f t="shared" si="56"/>
        <v>-4.6598639455782376</v>
      </c>
    </row>
    <row r="1454" spans="1:13" x14ac:dyDescent="0.3">
      <c r="A1454" s="124" t="s">
        <v>1080</v>
      </c>
      <c r="B1454" s="207" t="s">
        <v>119</v>
      </c>
      <c r="C1454" s="207" t="s">
        <v>1057</v>
      </c>
      <c r="D1454" s="146" t="s">
        <v>1053</v>
      </c>
      <c r="E1454" s="207">
        <v>0</v>
      </c>
      <c r="F1454" s="146">
        <v>0</v>
      </c>
      <c r="G1454" s="146">
        <v>100</v>
      </c>
      <c r="H1454" s="146">
        <v>100</v>
      </c>
      <c r="I1454" s="146">
        <v>100</v>
      </c>
      <c r="J1454" s="146">
        <v>100</v>
      </c>
      <c r="K1454" s="445">
        <f t="shared" si="54"/>
        <v>0</v>
      </c>
      <c r="L1454" s="445">
        <f t="shared" si="55"/>
        <v>0</v>
      </c>
      <c r="M1454" s="445">
        <f t="shared" si="56"/>
        <v>0</v>
      </c>
    </row>
    <row r="1455" spans="1:13" x14ac:dyDescent="0.3">
      <c r="A1455" s="124" t="s">
        <v>1080</v>
      </c>
      <c r="B1455" s="207" t="s">
        <v>119</v>
      </c>
      <c r="C1455" s="207" t="s">
        <v>1052</v>
      </c>
      <c r="D1455" s="124" t="s">
        <v>1054</v>
      </c>
      <c r="E1455" s="207">
        <v>24.763905562224888</v>
      </c>
      <c r="F1455" s="124">
        <v>21.811524609843932</v>
      </c>
      <c r="G1455" s="124">
        <v>47.142857142857146</v>
      </c>
      <c r="H1455" s="124">
        <v>47.142857142857146</v>
      </c>
      <c r="I1455" s="124">
        <v>22.378951580632258</v>
      </c>
      <c r="J1455" s="124">
        <v>68.954381752701082</v>
      </c>
      <c r="K1455" s="445">
        <f t="shared" si="54"/>
        <v>-52.857142857142854</v>
      </c>
      <c r="L1455" s="445">
        <f t="shared" si="55"/>
        <v>-77.621048419367739</v>
      </c>
      <c r="M1455" s="445">
        <f t="shared" si="56"/>
        <v>-31.045618247298918</v>
      </c>
    </row>
    <row r="1456" spans="1:13" x14ac:dyDescent="0.3">
      <c r="A1456" s="124" t="s">
        <v>1080</v>
      </c>
      <c r="B1456" s="207" t="s">
        <v>119</v>
      </c>
      <c r="C1456" s="207" t="s">
        <v>1056</v>
      </c>
      <c r="D1456" s="124" t="s">
        <v>1054</v>
      </c>
      <c r="E1456" s="207">
        <v>22.462585034013607</v>
      </c>
      <c r="F1456" s="124">
        <v>22.503401360544217</v>
      </c>
      <c r="G1456" s="124">
        <v>65</v>
      </c>
      <c r="H1456" s="124">
        <v>65</v>
      </c>
      <c r="I1456" s="124">
        <v>42.537414965986393</v>
      </c>
      <c r="J1456" s="124">
        <v>87.503401360544217</v>
      </c>
      <c r="K1456" s="445">
        <f t="shared" si="54"/>
        <v>-35</v>
      </c>
      <c r="L1456" s="445">
        <f t="shared" si="55"/>
        <v>-57.462585034013607</v>
      </c>
      <c r="M1456" s="445">
        <f t="shared" si="56"/>
        <v>-12.496598639455783</v>
      </c>
    </row>
    <row r="1457" spans="1:13" x14ac:dyDescent="0.3">
      <c r="A1457" s="124" t="s">
        <v>1080</v>
      </c>
      <c r="B1457" s="207" t="s">
        <v>119</v>
      </c>
      <c r="C1457" s="207" t="s">
        <v>1057</v>
      </c>
      <c r="D1457" s="124" t="s">
        <v>1054</v>
      </c>
      <c r="E1457" s="207">
        <v>13.297052154195011</v>
      </c>
      <c r="F1457" s="124">
        <v>11.791383219954648</v>
      </c>
      <c r="G1457" s="124">
        <v>89.571428571428569</v>
      </c>
      <c r="H1457" s="124">
        <v>89.571428571428569</v>
      </c>
      <c r="I1457" s="124">
        <v>76.274376417233555</v>
      </c>
      <c r="J1457" s="124">
        <v>101.36281179138322</v>
      </c>
      <c r="K1457" s="445">
        <f t="shared" si="54"/>
        <v>-10.428571428571431</v>
      </c>
      <c r="L1457" s="445">
        <f t="shared" si="55"/>
        <v>-23.725623582766445</v>
      </c>
      <c r="M1457" s="445">
        <f t="shared" si="56"/>
        <v>1.3628117913832227</v>
      </c>
    </row>
    <row r="1458" spans="1:13" x14ac:dyDescent="0.3">
      <c r="A1458" s="124" t="s">
        <v>1080</v>
      </c>
      <c r="B1458" s="207" t="s">
        <v>119</v>
      </c>
      <c r="C1458" s="207" t="s">
        <v>1052</v>
      </c>
      <c r="D1458" s="124" t="s">
        <v>1055</v>
      </c>
      <c r="E1458" s="207">
        <v>28.669867947178876</v>
      </c>
      <c r="F1458" s="124">
        <v>22.860344137655066</v>
      </c>
      <c r="G1458" s="124">
        <v>55</v>
      </c>
      <c r="H1458" s="124">
        <v>55</v>
      </c>
      <c r="I1458" s="124">
        <v>26.330132052821124</v>
      </c>
      <c r="J1458" s="124">
        <v>77.860344137655062</v>
      </c>
      <c r="K1458" s="445">
        <f t="shared" si="54"/>
        <v>-45</v>
      </c>
      <c r="L1458" s="445">
        <f t="shared" si="55"/>
        <v>-73.669867947178872</v>
      </c>
      <c r="M1458" s="445">
        <f t="shared" si="56"/>
        <v>-22.139655862344938</v>
      </c>
    </row>
    <row r="1459" spans="1:13" x14ac:dyDescent="0.3">
      <c r="A1459" s="124" t="s">
        <v>1080</v>
      </c>
      <c r="B1459" s="207" t="s">
        <v>119</v>
      </c>
      <c r="C1459" s="207" t="s">
        <v>1056</v>
      </c>
      <c r="D1459" s="146" t="s">
        <v>1055</v>
      </c>
      <c r="E1459" s="207">
        <v>29.210884353741495</v>
      </c>
      <c r="F1459" s="146">
        <v>19.462585034013603</v>
      </c>
      <c r="G1459" s="146">
        <v>72</v>
      </c>
      <c r="H1459" s="146">
        <v>72</v>
      </c>
      <c r="I1459" s="146">
        <v>42.789115646258509</v>
      </c>
      <c r="J1459" s="146">
        <v>91.4625850340136</v>
      </c>
      <c r="K1459" s="445">
        <f t="shared" si="54"/>
        <v>-28</v>
      </c>
      <c r="L1459" s="445">
        <f t="shared" si="55"/>
        <v>-57.210884353741491</v>
      </c>
      <c r="M1459" s="445">
        <f t="shared" si="56"/>
        <v>-8.5374149659864003</v>
      </c>
    </row>
    <row r="1460" spans="1:13" ht="15" thickBot="1" x14ac:dyDescent="0.35">
      <c r="A1460" s="124" t="s">
        <v>1080</v>
      </c>
      <c r="B1460" s="629" t="s">
        <v>119</v>
      </c>
      <c r="C1460" s="629" t="s">
        <v>1057</v>
      </c>
      <c r="D1460" s="577" t="s">
        <v>1055</v>
      </c>
      <c r="E1460" s="629">
        <v>23.024676537281582</v>
      </c>
      <c r="F1460" s="577">
        <v>12.301453914899293</v>
      </c>
      <c r="G1460" s="577">
        <v>84</v>
      </c>
      <c r="H1460" s="577">
        <v>84</v>
      </c>
      <c r="I1460" s="577">
        <v>60.975323462718421</v>
      </c>
      <c r="J1460" s="577">
        <v>96.301453914899298</v>
      </c>
      <c r="K1460" s="445">
        <f t="shared" si="54"/>
        <v>-16</v>
      </c>
      <c r="L1460" s="445">
        <f t="shared" si="55"/>
        <v>-39.024676537281579</v>
      </c>
      <c r="M1460" s="445">
        <f t="shared" si="56"/>
        <v>-3.6985460851007019</v>
      </c>
    </row>
    <row r="1461" spans="1:13" x14ac:dyDescent="0.3">
      <c r="A1461" s="124" t="s">
        <v>1080</v>
      </c>
      <c r="B1461" s="292" t="s">
        <v>121</v>
      </c>
      <c r="C1461" s="292" t="s">
        <v>1052</v>
      </c>
      <c r="D1461" s="293" t="s">
        <v>1053</v>
      </c>
      <c r="E1461" s="292">
        <v>21.430572228891556</v>
      </c>
      <c r="F1461" s="293">
        <v>12.859143657462985</v>
      </c>
      <c r="G1461" s="293">
        <v>75.714285714285708</v>
      </c>
      <c r="H1461" s="293">
        <v>75.714285714285708</v>
      </c>
      <c r="I1461" s="293">
        <v>54.283713485394152</v>
      </c>
      <c r="J1461" s="293">
        <v>88.573429371748688</v>
      </c>
      <c r="K1461" s="445">
        <f t="shared" si="54"/>
        <v>-24.285714285714292</v>
      </c>
      <c r="L1461" s="445">
        <f t="shared" si="55"/>
        <v>-45.716286514605848</v>
      </c>
      <c r="M1461" s="445">
        <f t="shared" si="56"/>
        <v>-11.426570628251312</v>
      </c>
    </row>
    <row r="1462" spans="1:13" x14ac:dyDescent="0.3">
      <c r="A1462" s="124" t="s">
        <v>1080</v>
      </c>
      <c r="B1462" s="207" t="s">
        <v>121</v>
      </c>
      <c r="C1462" s="207" t="s">
        <v>1056</v>
      </c>
      <c r="D1462" s="124" t="s">
        <v>1053</v>
      </c>
      <c r="E1462" s="207">
        <v>15.823129251700678</v>
      </c>
      <c r="F1462" s="124">
        <v>7.9727891156462576</v>
      </c>
      <c r="G1462" s="124">
        <v>88.571428571428569</v>
      </c>
      <c r="H1462" s="124">
        <v>88.571428571428569</v>
      </c>
      <c r="I1462" s="124">
        <v>72.748299319727892</v>
      </c>
      <c r="J1462" s="124">
        <v>96.54421768707482</v>
      </c>
      <c r="K1462" s="445">
        <f t="shared" si="54"/>
        <v>-11.428571428571431</v>
      </c>
      <c r="L1462" s="445">
        <f t="shared" si="55"/>
        <v>-27.251700680272108</v>
      </c>
      <c r="M1462" s="445">
        <f t="shared" si="56"/>
        <v>-3.4557823129251801</v>
      </c>
    </row>
    <row r="1463" spans="1:13" x14ac:dyDescent="0.3">
      <c r="A1463" s="124" t="s">
        <v>1080</v>
      </c>
      <c r="B1463" s="207" t="s">
        <v>121</v>
      </c>
      <c r="C1463" s="207" t="s">
        <v>1057</v>
      </c>
      <c r="D1463" s="146" t="s">
        <v>1053</v>
      </c>
      <c r="E1463" s="207">
        <v>0</v>
      </c>
      <c r="F1463" s="124">
        <v>0</v>
      </c>
      <c r="G1463" s="124">
        <v>100</v>
      </c>
      <c r="H1463" s="124">
        <v>100</v>
      </c>
      <c r="I1463" s="124">
        <v>100</v>
      </c>
      <c r="J1463" s="124">
        <v>100</v>
      </c>
      <c r="K1463" s="445">
        <f t="shared" si="54"/>
        <v>0</v>
      </c>
      <c r="L1463" s="445">
        <f t="shared" si="55"/>
        <v>0</v>
      </c>
      <c r="M1463" s="445">
        <f t="shared" si="56"/>
        <v>0</v>
      </c>
    </row>
    <row r="1464" spans="1:13" x14ac:dyDescent="0.3">
      <c r="A1464" s="124" t="s">
        <v>1080</v>
      </c>
      <c r="B1464" s="207" t="s">
        <v>121</v>
      </c>
      <c r="C1464" s="207" t="s">
        <v>1052</v>
      </c>
      <c r="D1464" s="146" t="s">
        <v>1054</v>
      </c>
      <c r="E1464" s="207">
        <v>17.090436174469787</v>
      </c>
      <c r="F1464" s="146">
        <v>21.66186474589836</v>
      </c>
      <c r="G1464" s="146">
        <v>64.857142857142861</v>
      </c>
      <c r="H1464" s="146">
        <v>64.857142857142861</v>
      </c>
      <c r="I1464" s="146">
        <v>47.766706682673075</v>
      </c>
      <c r="J1464" s="146">
        <v>86.519007603041217</v>
      </c>
      <c r="K1464" s="445">
        <f t="shared" si="54"/>
        <v>-35.142857142857139</v>
      </c>
      <c r="L1464" s="445">
        <f t="shared" si="55"/>
        <v>-52.233293317326925</v>
      </c>
      <c r="M1464" s="445">
        <f t="shared" si="56"/>
        <v>-13.480992396958783</v>
      </c>
    </row>
    <row r="1465" spans="1:13" x14ac:dyDescent="0.3">
      <c r="A1465" s="124" t="s">
        <v>1080</v>
      </c>
      <c r="B1465" s="207" t="s">
        <v>121</v>
      </c>
      <c r="C1465" s="207" t="s">
        <v>1056</v>
      </c>
      <c r="D1465" s="124" t="s">
        <v>1054</v>
      </c>
      <c r="E1465" s="207">
        <v>13.585034013605441</v>
      </c>
      <c r="F1465" s="124">
        <v>13.96598639455782</v>
      </c>
      <c r="G1465" s="124">
        <v>80.714285714285708</v>
      </c>
      <c r="H1465" s="124">
        <v>80.714285714285708</v>
      </c>
      <c r="I1465" s="124">
        <v>67.129251700680271</v>
      </c>
      <c r="J1465" s="124">
        <v>94.680272108843525</v>
      </c>
      <c r="K1465" s="445">
        <f t="shared" si="54"/>
        <v>-19.285714285714292</v>
      </c>
      <c r="L1465" s="445">
        <f t="shared" si="55"/>
        <v>-32.870748299319729</v>
      </c>
      <c r="M1465" s="445">
        <f t="shared" si="56"/>
        <v>-5.3197278911564752</v>
      </c>
    </row>
    <row r="1466" spans="1:13" x14ac:dyDescent="0.3">
      <c r="A1466" s="124" t="s">
        <v>1080</v>
      </c>
      <c r="B1466" s="207" t="s">
        <v>121</v>
      </c>
      <c r="C1466" s="207" t="s">
        <v>1057</v>
      </c>
      <c r="D1466" s="124" t="s">
        <v>1054</v>
      </c>
      <c r="E1466" s="207">
        <v>10.986261171135121</v>
      </c>
      <c r="F1466" s="124">
        <v>6.2152861144457772</v>
      </c>
      <c r="G1466" s="124">
        <v>96.714285714285708</v>
      </c>
      <c r="H1466" s="124">
        <v>96.714285714285708</v>
      </c>
      <c r="I1466" s="124">
        <v>85.728024543150582</v>
      </c>
      <c r="J1466" s="124">
        <v>102.92957182873148</v>
      </c>
      <c r="K1466" s="445">
        <f t="shared" si="54"/>
        <v>-3.2857142857142918</v>
      </c>
      <c r="L1466" s="445">
        <f t="shared" si="55"/>
        <v>-14.271975456849418</v>
      </c>
      <c r="M1466" s="445">
        <f t="shared" si="56"/>
        <v>2.9295718287314827</v>
      </c>
    </row>
    <row r="1467" spans="1:13" x14ac:dyDescent="0.3">
      <c r="A1467" s="124" t="s">
        <v>1080</v>
      </c>
      <c r="B1467" s="207" t="s">
        <v>121</v>
      </c>
      <c r="C1467" s="207" t="s">
        <v>1052</v>
      </c>
      <c r="D1467" s="146" t="s">
        <v>1055</v>
      </c>
      <c r="E1467" s="207">
        <v>17.761504601840734</v>
      </c>
      <c r="F1467" s="146">
        <v>9.6030412164865933</v>
      </c>
      <c r="G1467" s="146">
        <v>82.142857142857139</v>
      </c>
      <c r="H1467" s="146">
        <v>82.142857142857139</v>
      </c>
      <c r="I1467" s="146">
        <v>64.381352541016412</v>
      </c>
      <c r="J1467" s="146">
        <v>91.745898359343727</v>
      </c>
      <c r="K1467" s="445">
        <f t="shared" si="54"/>
        <v>-17.857142857142861</v>
      </c>
      <c r="L1467" s="445">
        <f t="shared" si="55"/>
        <v>-35.618647458983588</v>
      </c>
      <c r="M1467" s="445">
        <f t="shared" si="56"/>
        <v>-8.2541016406562733</v>
      </c>
    </row>
    <row r="1468" spans="1:13" x14ac:dyDescent="0.3">
      <c r="A1468" s="124" t="s">
        <v>1080</v>
      </c>
      <c r="B1468" s="207" t="s">
        <v>121</v>
      </c>
      <c r="C1468" s="207" t="s">
        <v>1056</v>
      </c>
      <c r="D1468" s="146" t="s">
        <v>1055</v>
      </c>
      <c r="E1468" s="207">
        <v>14.401360544217686</v>
      </c>
      <c r="F1468" s="146">
        <v>6.3945578231292517</v>
      </c>
      <c r="G1468" s="146">
        <v>92.571428571428569</v>
      </c>
      <c r="H1468" s="146">
        <v>92.571428571428569</v>
      </c>
      <c r="I1468" s="146">
        <v>78.170068027210888</v>
      </c>
      <c r="J1468" s="146">
        <v>98.965986394557817</v>
      </c>
      <c r="K1468" s="445">
        <f t="shared" si="54"/>
        <v>-7.4285714285714306</v>
      </c>
      <c r="L1468" s="445">
        <f t="shared" si="55"/>
        <v>-21.829931972789112</v>
      </c>
      <c r="M1468" s="445">
        <f t="shared" si="56"/>
        <v>-1.0340136054421833</v>
      </c>
    </row>
    <row r="1469" spans="1:13" ht="15" thickBot="1" x14ac:dyDescent="0.35">
      <c r="A1469" s="124" t="s">
        <v>1080</v>
      </c>
      <c r="B1469" s="629" t="s">
        <v>121</v>
      </c>
      <c r="C1469" s="629" t="s">
        <v>1057</v>
      </c>
      <c r="D1469" s="577" t="s">
        <v>1055</v>
      </c>
      <c r="E1469" s="629">
        <v>13.387755102040813</v>
      </c>
      <c r="F1469" s="577">
        <v>5.2517006802721085</v>
      </c>
      <c r="G1469" s="577">
        <v>97</v>
      </c>
      <c r="H1469" s="577">
        <v>97</v>
      </c>
      <c r="I1469" s="577">
        <v>83.612244897959187</v>
      </c>
      <c r="J1469" s="577">
        <v>102.25170068027211</v>
      </c>
      <c r="K1469" s="445">
        <f t="shared" si="54"/>
        <v>-3</v>
      </c>
      <c r="L1469" s="445">
        <f t="shared" si="55"/>
        <v>-16.387755102040813</v>
      </c>
      <c r="M1469" s="445">
        <f t="shared" si="56"/>
        <v>2.2517006802721085</v>
      </c>
    </row>
    <row r="1470" spans="1:13" x14ac:dyDescent="0.3">
      <c r="A1470" s="124" t="s">
        <v>1080</v>
      </c>
      <c r="B1470" s="292" t="s">
        <v>123</v>
      </c>
      <c r="C1470" s="292" t="s">
        <v>1052</v>
      </c>
      <c r="D1470" s="293" t="s">
        <v>1053</v>
      </c>
      <c r="E1470" s="292">
        <v>16.258503401360546</v>
      </c>
      <c r="F1470" s="293">
        <v>14.451247165532878</v>
      </c>
      <c r="G1470" s="293">
        <v>71.428571428571431</v>
      </c>
      <c r="H1470" s="293">
        <v>71.428571428571431</v>
      </c>
      <c r="I1470" s="293">
        <v>55.170068027210888</v>
      </c>
      <c r="J1470" s="293">
        <v>85.879818594104307</v>
      </c>
      <c r="K1470" s="445">
        <f t="shared" si="54"/>
        <v>-28.571428571428569</v>
      </c>
      <c r="L1470" s="445">
        <f t="shared" si="55"/>
        <v>-44.829931972789112</v>
      </c>
      <c r="M1470" s="445">
        <f t="shared" si="56"/>
        <v>-14.120181405895693</v>
      </c>
    </row>
    <row r="1471" spans="1:13" x14ac:dyDescent="0.3">
      <c r="A1471" s="124" t="s">
        <v>1080</v>
      </c>
      <c r="B1471" s="207" t="s">
        <v>123</v>
      </c>
      <c r="C1471" s="207" t="s">
        <v>1056</v>
      </c>
      <c r="D1471" s="124" t="s">
        <v>1053</v>
      </c>
      <c r="E1471" s="207">
        <v>19.940776310524207</v>
      </c>
      <c r="F1471" s="124">
        <v>10.219687875150059</v>
      </c>
      <c r="G1471" s="124">
        <v>83.571428571428569</v>
      </c>
      <c r="H1471" s="124">
        <v>83.571428571428569</v>
      </c>
      <c r="I1471" s="124">
        <v>63.630652260904363</v>
      </c>
      <c r="J1471" s="124">
        <v>93.791116446578627</v>
      </c>
      <c r="K1471" s="445">
        <f t="shared" ref="K1471:K1534" si="57">0-(100-H1471)</f>
        <v>-16.428571428571431</v>
      </c>
      <c r="L1471" s="445">
        <f t="shared" ref="L1471:L1534" si="58">0-(100-I1471)</f>
        <v>-36.369347739095637</v>
      </c>
      <c r="M1471" s="445">
        <f t="shared" ref="M1471:M1534" si="59">0-(100-J1471)</f>
        <v>-6.2088835534213729</v>
      </c>
    </row>
    <row r="1472" spans="1:13" x14ac:dyDescent="0.3">
      <c r="A1472" s="124" t="s">
        <v>1080</v>
      </c>
      <c r="B1472" s="207" t="s">
        <v>123</v>
      </c>
      <c r="C1472" s="207" t="s">
        <v>1057</v>
      </c>
      <c r="D1472" s="146" t="s">
        <v>1053</v>
      </c>
      <c r="E1472" s="207">
        <v>0</v>
      </c>
      <c r="F1472" s="124">
        <v>0</v>
      </c>
      <c r="G1472" s="124">
        <v>100</v>
      </c>
      <c r="H1472" s="124">
        <v>100</v>
      </c>
      <c r="I1472" s="124">
        <v>100</v>
      </c>
      <c r="J1472" s="124">
        <v>100</v>
      </c>
      <c r="K1472" s="445">
        <f t="shared" si="57"/>
        <v>0</v>
      </c>
      <c r="L1472" s="445">
        <f t="shared" si="58"/>
        <v>0</v>
      </c>
      <c r="M1472" s="445">
        <f t="shared" si="59"/>
        <v>0</v>
      </c>
    </row>
    <row r="1473" spans="1:13" x14ac:dyDescent="0.3">
      <c r="A1473" s="124" t="s">
        <v>1080</v>
      </c>
      <c r="B1473" s="207" t="s">
        <v>123</v>
      </c>
      <c r="C1473" s="207" t="s">
        <v>1052</v>
      </c>
      <c r="D1473" s="146" t="s">
        <v>1054</v>
      </c>
      <c r="E1473" s="207">
        <v>10.333333333333332</v>
      </c>
      <c r="F1473" s="146">
        <v>24.968253968253968</v>
      </c>
      <c r="G1473" s="146">
        <v>58.571428571428569</v>
      </c>
      <c r="H1473" s="146">
        <v>58.571428571428569</v>
      </c>
      <c r="I1473" s="146">
        <v>48.238095238095241</v>
      </c>
      <c r="J1473" s="146">
        <v>83.539682539682531</v>
      </c>
      <c r="K1473" s="445">
        <f t="shared" si="57"/>
        <v>-41.428571428571431</v>
      </c>
      <c r="L1473" s="445">
        <f t="shared" si="58"/>
        <v>-51.761904761904759</v>
      </c>
      <c r="M1473" s="445">
        <f t="shared" si="59"/>
        <v>-16.460317460317469</v>
      </c>
    </row>
    <row r="1474" spans="1:13" x14ac:dyDescent="0.3">
      <c r="A1474" s="124" t="s">
        <v>1080</v>
      </c>
      <c r="B1474" s="207" t="s">
        <v>123</v>
      </c>
      <c r="C1474" s="207" t="s">
        <v>1056</v>
      </c>
      <c r="D1474" s="124" t="s">
        <v>1054</v>
      </c>
      <c r="E1474" s="207">
        <v>14.736694677871148</v>
      </c>
      <c r="F1474" s="124">
        <v>15.619047619047619</v>
      </c>
      <c r="G1474" s="124">
        <v>74.285714285714292</v>
      </c>
      <c r="H1474" s="124">
        <v>74.285714285714292</v>
      </c>
      <c r="I1474" s="124">
        <v>59.549019607843142</v>
      </c>
      <c r="J1474" s="124">
        <v>89.904761904761912</v>
      </c>
      <c r="K1474" s="445">
        <f t="shared" si="57"/>
        <v>-25.714285714285708</v>
      </c>
      <c r="L1474" s="445">
        <f t="shared" si="58"/>
        <v>-40.450980392156858</v>
      </c>
      <c r="M1474" s="445">
        <f t="shared" si="59"/>
        <v>-10.095238095238088</v>
      </c>
    </row>
    <row r="1475" spans="1:13" x14ac:dyDescent="0.3">
      <c r="A1475" s="124" t="s">
        <v>1080</v>
      </c>
      <c r="B1475" s="207" t="s">
        <v>123</v>
      </c>
      <c r="C1475" s="207" t="s">
        <v>1057</v>
      </c>
      <c r="D1475" s="124" t="s">
        <v>1054</v>
      </c>
      <c r="E1475" s="207">
        <v>13.296181630546956</v>
      </c>
      <c r="F1475" s="124">
        <v>3.4911297852474319</v>
      </c>
      <c r="G1475" s="124">
        <v>96</v>
      </c>
      <c r="H1475" s="124">
        <v>96</v>
      </c>
      <c r="I1475" s="124">
        <v>82.703818369453046</v>
      </c>
      <c r="J1475" s="124">
        <v>99.491129785247438</v>
      </c>
      <c r="K1475" s="445">
        <f t="shared" si="57"/>
        <v>-4</v>
      </c>
      <c r="L1475" s="445">
        <f t="shared" si="58"/>
        <v>-17.296181630546954</v>
      </c>
      <c r="M1475" s="445">
        <f t="shared" si="59"/>
        <v>-0.50887021475256233</v>
      </c>
    </row>
    <row r="1476" spans="1:13" x14ac:dyDescent="0.3">
      <c r="A1476" s="124" t="s">
        <v>1080</v>
      </c>
      <c r="B1476" s="207" t="s">
        <v>123</v>
      </c>
      <c r="C1476" s="207" t="s">
        <v>1052</v>
      </c>
      <c r="D1476" s="124" t="s">
        <v>1055</v>
      </c>
      <c r="E1476" s="207">
        <v>14.03174603174603</v>
      </c>
      <c r="F1476" s="124">
        <v>17.761904761904763</v>
      </c>
      <c r="G1476" s="124">
        <v>67.857142857142861</v>
      </c>
      <c r="H1476" s="124">
        <v>67.857142857142861</v>
      </c>
      <c r="I1476" s="124">
        <v>53.82539682539683</v>
      </c>
      <c r="J1476" s="124">
        <v>85.61904761904762</v>
      </c>
      <c r="K1476" s="445">
        <f t="shared" si="57"/>
        <v>-32.142857142857139</v>
      </c>
      <c r="L1476" s="445">
        <f t="shared" si="58"/>
        <v>-46.17460317460317</v>
      </c>
      <c r="M1476" s="445">
        <f t="shared" si="59"/>
        <v>-14.38095238095238</v>
      </c>
    </row>
    <row r="1477" spans="1:13" x14ac:dyDescent="0.3">
      <c r="A1477" s="124" t="s">
        <v>1080</v>
      </c>
      <c r="B1477" s="207" t="s">
        <v>123</v>
      </c>
      <c r="C1477" s="207" t="s">
        <v>1056</v>
      </c>
      <c r="D1477" s="124" t="s">
        <v>1055</v>
      </c>
      <c r="E1477" s="207">
        <v>13.302521008403362</v>
      </c>
      <c r="F1477" s="124">
        <v>14.254901960784313</v>
      </c>
      <c r="G1477" s="124">
        <v>80</v>
      </c>
      <c r="H1477" s="124">
        <v>80</v>
      </c>
      <c r="I1477" s="124">
        <v>66.69747899159664</v>
      </c>
      <c r="J1477" s="124">
        <v>94.254901960784309</v>
      </c>
      <c r="K1477" s="445">
        <f t="shared" si="57"/>
        <v>-20</v>
      </c>
      <c r="L1477" s="445">
        <f t="shared" si="58"/>
        <v>-33.30252100840336</v>
      </c>
      <c r="M1477" s="445">
        <f t="shared" si="59"/>
        <v>-5.7450980392156907</v>
      </c>
    </row>
    <row r="1478" spans="1:13" ht="15" thickBot="1" x14ac:dyDescent="0.35">
      <c r="A1478" s="124" t="s">
        <v>1080</v>
      </c>
      <c r="B1478" s="629" t="s">
        <v>123</v>
      </c>
      <c r="C1478" s="629" t="s">
        <v>1057</v>
      </c>
      <c r="D1478" s="577" t="s">
        <v>1055</v>
      </c>
      <c r="E1478" s="629">
        <v>14.010025062656641</v>
      </c>
      <c r="F1478" s="577">
        <v>3.9390142021720971</v>
      </c>
      <c r="G1478" s="577">
        <v>93.142857142857139</v>
      </c>
      <c r="H1478" s="577">
        <v>93.142857142857139</v>
      </c>
      <c r="I1478" s="577">
        <v>79.132832080200501</v>
      </c>
      <c r="J1478" s="577">
        <v>97.081871345029242</v>
      </c>
      <c r="K1478" s="445">
        <f t="shared" si="57"/>
        <v>-6.8571428571428612</v>
      </c>
      <c r="L1478" s="445">
        <f t="shared" si="58"/>
        <v>-20.867167919799499</v>
      </c>
      <c r="M1478" s="445">
        <f t="shared" si="59"/>
        <v>-2.9181286549707579</v>
      </c>
    </row>
    <row r="1479" spans="1:13" x14ac:dyDescent="0.3">
      <c r="A1479" s="124" t="s">
        <v>1080</v>
      </c>
      <c r="B1479" s="292" t="s">
        <v>125</v>
      </c>
      <c r="C1479" s="292" t="s">
        <v>1052</v>
      </c>
      <c r="D1479" s="293" t="s">
        <v>1053</v>
      </c>
      <c r="E1479" s="292">
        <v>14.353741496598639</v>
      </c>
      <c r="F1479" s="293">
        <v>12.267573696145122</v>
      </c>
      <c r="G1479" s="293">
        <v>71.428571428571431</v>
      </c>
      <c r="H1479" s="293">
        <v>71.428571428571431</v>
      </c>
      <c r="I1479" s="293">
        <v>57.074829931972793</v>
      </c>
      <c r="J1479" s="293">
        <v>83.696145124716551</v>
      </c>
      <c r="K1479" s="445">
        <f t="shared" si="57"/>
        <v>-28.571428571428569</v>
      </c>
      <c r="L1479" s="445">
        <f t="shared" si="58"/>
        <v>-42.925170068027207</v>
      </c>
      <c r="M1479" s="445">
        <f t="shared" si="59"/>
        <v>-16.303854875283449</v>
      </c>
    </row>
    <row r="1480" spans="1:13" x14ac:dyDescent="0.3">
      <c r="A1480" s="124" t="s">
        <v>1080</v>
      </c>
      <c r="B1480" s="207" t="s">
        <v>125</v>
      </c>
      <c r="C1480" s="207" t="s">
        <v>1056</v>
      </c>
      <c r="D1480" s="124" t="s">
        <v>1053</v>
      </c>
      <c r="E1480" s="207">
        <v>16.328531412565024</v>
      </c>
      <c r="F1480" s="124">
        <v>10.988395358143256</v>
      </c>
      <c r="G1480" s="124">
        <v>83.571428571428569</v>
      </c>
      <c r="H1480" s="124">
        <v>83.571428571428569</v>
      </c>
      <c r="I1480" s="124">
        <v>67.242897158863542</v>
      </c>
      <c r="J1480" s="124">
        <v>94.55982392957182</v>
      </c>
      <c r="K1480" s="445">
        <f t="shared" si="57"/>
        <v>-16.428571428571431</v>
      </c>
      <c r="L1480" s="445">
        <f t="shared" si="58"/>
        <v>-32.757102841136458</v>
      </c>
      <c r="M1480" s="445">
        <f t="shared" si="59"/>
        <v>-5.4401760704281799</v>
      </c>
    </row>
    <row r="1481" spans="1:13" x14ac:dyDescent="0.3">
      <c r="A1481" s="124" t="s">
        <v>1080</v>
      </c>
      <c r="B1481" s="207" t="s">
        <v>125</v>
      </c>
      <c r="C1481" s="207" t="s">
        <v>1057</v>
      </c>
      <c r="D1481" s="146" t="s">
        <v>1053</v>
      </c>
      <c r="E1481" s="207">
        <v>0</v>
      </c>
      <c r="F1481" s="124">
        <v>0</v>
      </c>
      <c r="G1481" s="124">
        <v>100</v>
      </c>
      <c r="H1481" s="124">
        <v>100</v>
      </c>
      <c r="I1481" s="124">
        <v>100</v>
      </c>
      <c r="J1481" s="124">
        <v>100</v>
      </c>
      <c r="K1481" s="445">
        <f t="shared" si="57"/>
        <v>0</v>
      </c>
      <c r="L1481" s="445">
        <f t="shared" si="58"/>
        <v>0</v>
      </c>
      <c r="M1481" s="445">
        <f t="shared" si="59"/>
        <v>0</v>
      </c>
    </row>
    <row r="1482" spans="1:13" x14ac:dyDescent="0.3">
      <c r="A1482" s="124" t="s">
        <v>1080</v>
      </c>
      <c r="B1482" s="207" t="s">
        <v>125</v>
      </c>
      <c r="C1482" s="207" t="s">
        <v>1052</v>
      </c>
      <c r="D1482" s="146" t="s">
        <v>1054</v>
      </c>
      <c r="E1482" s="207">
        <v>6.149659863945578</v>
      </c>
      <c r="F1482" s="146">
        <v>22.172335600907026</v>
      </c>
      <c r="G1482" s="146">
        <v>55.714285714285715</v>
      </c>
      <c r="H1482" s="146">
        <v>55.714285714285715</v>
      </c>
      <c r="I1482" s="146">
        <v>49.564625850340136</v>
      </c>
      <c r="J1482" s="146">
        <v>77.886621315192741</v>
      </c>
      <c r="K1482" s="445">
        <f t="shared" si="57"/>
        <v>-44.285714285714285</v>
      </c>
      <c r="L1482" s="445">
        <f t="shared" si="58"/>
        <v>-50.435374149659864</v>
      </c>
      <c r="M1482" s="445">
        <f t="shared" si="59"/>
        <v>-22.113378684807259</v>
      </c>
    </row>
    <row r="1483" spans="1:13" x14ac:dyDescent="0.3">
      <c r="A1483" s="124" t="s">
        <v>1080</v>
      </c>
      <c r="B1483" s="207" t="s">
        <v>125</v>
      </c>
      <c r="C1483" s="207" t="s">
        <v>1056</v>
      </c>
      <c r="D1483" s="146" t="s">
        <v>1054</v>
      </c>
      <c r="E1483" s="207">
        <v>11.410164065626249</v>
      </c>
      <c r="F1483" s="146">
        <v>17.435374149659861</v>
      </c>
      <c r="G1483" s="146">
        <v>70.714285714285708</v>
      </c>
      <c r="H1483" s="146">
        <v>70.714285714285708</v>
      </c>
      <c r="I1483" s="146">
        <v>59.304121648659461</v>
      </c>
      <c r="J1483" s="146">
        <v>88.149659863945573</v>
      </c>
      <c r="K1483" s="445">
        <f t="shared" si="57"/>
        <v>-29.285714285714292</v>
      </c>
      <c r="L1483" s="445">
        <f t="shared" si="58"/>
        <v>-40.695878351340539</v>
      </c>
      <c r="M1483" s="445">
        <f t="shared" si="59"/>
        <v>-11.850340136054427</v>
      </c>
    </row>
    <row r="1484" spans="1:13" x14ac:dyDescent="0.3">
      <c r="A1484" s="124" t="s">
        <v>1080</v>
      </c>
      <c r="B1484" s="207" t="s">
        <v>125</v>
      </c>
      <c r="C1484" s="207" t="s">
        <v>1057</v>
      </c>
      <c r="D1484" s="124" t="s">
        <v>1054</v>
      </c>
      <c r="E1484" s="207">
        <v>14.749963143151998</v>
      </c>
      <c r="F1484" s="124">
        <v>3.2913165266106441</v>
      </c>
      <c r="G1484" s="124">
        <v>94.142857142857139</v>
      </c>
      <c r="H1484" s="124">
        <v>94.142857142857139</v>
      </c>
      <c r="I1484" s="124">
        <v>79.392893999705137</v>
      </c>
      <c r="J1484" s="124">
        <v>97.434173669467782</v>
      </c>
      <c r="K1484" s="445">
        <f t="shared" si="57"/>
        <v>-5.8571428571428612</v>
      </c>
      <c r="L1484" s="445">
        <f t="shared" si="58"/>
        <v>-20.607106000294863</v>
      </c>
      <c r="M1484" s="445">
        <f t="shared" si="59"/>
        <v>-2.565826330532218</v>
      </c>
    </row>
    <row r="1485" spans="1:13" x14ac:dyDescent="0.3">
      <c r="A1485" s="124" t="s">
        <v>1080</v>
      </c>
      <c r="B1485" s="207" t="s">
        <v>125</v>
      </c>
      <c r="C1485" s="207" t="s">
        <v>1052</v>
      </c>
      <c r="D1485" s="124" t="s">
        <v>1055</v>
      </c>
      <c r="E1485" s="207">
        <v>14.895691609977321</v>
      </c>
      <c r="F1485" s="124">
        <v>19.911564625850339</v>
      </c>
      <c r="G1485" s="124">
        <v>71.428571428571431</v>
      </c>
      <c r="H1485" s="124">
        <v>71.428571428571431</v>
      </c>
      <c r="I1485" s="124">
        <v>56.532879818594111</v>
      </c>
      <c r="J1485" s="124">
        <v>91.340136054421777</v>
      </c>
      <c r="K1485" s="445">
        <f t="shared" si="57"/>
        <v>-28.571428571428569</v>
      </c>
      <c r="L1485" s="445">
        <f t="shared" si="58"/>
        <v>-43.467120181405889</v>
      </c>
      <c r="M1485" s="445">
        <f t="shared" si="59"/>
        <v>-8.6598639455782234</v>
      </c>
    </row>
    <row r="1486" spans="1:13" x14ac:dyDescent="0.3">
      <c r="A1486" s="124" t="s">
        <v>1080</v>
      </c>
      <c r="B1486" s="207" t="s">
        <v>125</v>
      </c>
      <c r="C1486" s="207" t="s">
        <v>1056</v>
      </c>
      <c r="D1486" s="146" t="s">
        <v>1055</v>
      </c>
      <c r="E1486" s="207">
        <v>12.975990396158464</v>
      </c>
      <c r="F1486" s="146">
        <v>16.833133253301316</v>
      </c>
      <c r="G1486" s="146">
        <v>82.857142857142861</v>
      </c>
      <c r="H1486" s="146">
        <v>82.857142857142861</v>
      </c>
      <c r="I1486" s="146">
        <v>69.881152460984396</v>
      </c>
      <c r="J1486" s="146">
        <v>99.690276110444174</v>
      </c>
      <c r="K1486" s="445">
        <f t="shared" si="57"/>
        <v>-17.142857142857139</v>
      </c>
      <c r="L1486" s="445">
        <f t="shared" si="58"/>
        <v>-30.118847539015604</v>
      </c>
      <c r="M1486" s="445">
        <f t="shared" si="59"/>
        <v>-0.3097238895558263</v>
      </c>
    </row>
    <row r="1487" spans="1:13" ht="15" thickBot="1" x14ac:dyDescent="0.35">
      <c r="A1487" s="124" t="s">
        <v>1080</v>
      </c>
      <c r="B1487" s="629" t="s">
        <v>125</v>
      </c>
      <c r="C1487" s="629" t="s">
        <v>1057</v>
      </c>
      <c r="D1487" s="577" t="s">
        <v>1055</v>
      </c>
      <c r="E1487" s="629">
        <v>14.200501253132829</v>
      </c>
      <c r="F1487" s="577">
        <v>5.0025062656641595</v>
      </c>
      <c r="G1487" s="577">
        <v>95.142857142857139</v>
      </c>
      <c r="H1487" s="577">
        <v>95.142857142857139</v>
      </c>
      <c r="I1487" s="577">
        <v>80.942355889724311</v>
      </c>
      <c r="J1487" s="577">
        <v>100.14536340852129</v>
      </c>
      <c r="K1487" s="445">
        <f t="shared" si="57"/>
        <v>-4.8571428571428612</v>
      </c>
      <c r="L1487" s="445">
        <f t="shared" si="58"/>
        <v>-19.057644110275689</v>
      </c>
      <c r="M1487" s="445">
        <f t="shared" si="59"/>
        <v>0.14536340852129115</v>
      </c>
    </row>
    <row r="1488" spans="1:13" x14ac:dyDescent="0.3">
      <c r="A1488" s="124" t="s">
        <v>1080</v>
      </c>
      <c r="B1488" s="292" t="s">
        <v>127</v>
      </c>
      <c r="C1488" s="292" t="s">
        <v>1052</v>
      </c>
      <c r="D1488" s="293" t="s">
        <v>1053</v>
      </c>
      <c r="E1488" s="292">
        <v>15.9750566893424</v>
      </c>
      <c r="F1488" s="293">
        <v>12.82312925170068</v>
      </c>
      <c r="G1488" s="293">
        <v>75</v>
      </c>
      <c r="H1488" s="293">
        <v>75</v>
      </c>
      <c r="I1488" s="293">
        <v>59.024943310657598</v>
      </c>
      <c r="J1488" s="293">
        <v>87.823129251700678</v>
      </c>
      <c r="K1488" s="445">
        <f t="shared" si="57"/>
        <v>-25</v>
      </c>
      <c r="L1488" s="445">
        <f t="shared" si="58"/>
        <v>-40.975056689342402</v>
      </c>
      <c r="M1488" s="445">
        <f t="shared" si="59"/>
        <v>-12.176870748299322</v>
      </c>
    </row>
    <row r="1489" spans="1:13" x14ac:dyDescent="0.3">
      <c r="A1489" s="124" t="s">
        <v>1080</v>
      </c>
      <c r="B1489" s="207" t="s">
        <v>127</v>
      </c>
      <c r="C1489" s="207" t="s">
        <v>1056</v>
      </c>
      <c r="D1489" s="146" t="s">
        <v>1053</v>
      </c>
      <c r="E1489" s="207">
        <v>20.028011204481793</v>
      </c>
      <c r="F1489" s="146">
        <v>9.8739495798319332</v>
      </c>
      <c r="G1489" s="146">
        <v>85</v>
      </c>
      <c r="H1489" s="146">
        <v>85</v>
      </c>
      <c r="I1489" s="146">
        <v>64.9719887955182</v>
      </c>
      <c r="J1489" s="146">
        <v>94.87394957983193</v>
      </c>
      <c r="K1489" s="445">
        <f t="shared" si="57"/>
        <v>-15</v>
      </c>
      <c r="L1489" s="445">
        <f t="shared" si="58"/>
        <v>-35.0280112044818</v>
      </c>
      <c r="M1489" s="445">
        <f t="shared" si="59"/>
        <v>-5.1260504201680703</v>
      </c>
    </row>
    <row r="1490" spans="1:13" x14ac:dyDescent="0.3">
      <c r="A1490" s="124" t="s">
        <v>1080</v>
      </c>
      <c r="B1490" s="207" t="s">
        <v>127</v>
      </c>
      <c r="C1490" s="207" t="s">
        <v>1057</v>
      </c>
      <c r="D1490" s="146" t="s">
        <v>1053</v>
      </c>
      <c r="E1490" s="207">
        <v>0</v>
      </c>
      <c r="F1490" s="124">
        <v>0</v>
      </c>
      <c r="G1490" s="124">
        <v>100</v>
      </c>
      <c r="H1490" s="124">
        <v>100</v>
      </c>
      <c r="I1490" s="124">
        <v>100</v>
      </c>
      <c r="J1490" s="124">
        <v>100</v>
      </c>
      <c r="K1490" s="445">
        <f t="shared" si="57"/>
        <v>0</v>
      </c>
      <c r="L1490" s="445">
        <f t="shared" si="58"/>
        <v>0</v>
      </c>
      <c r="M1490" s="445">
        <f t="shared" si="59"/>
        <v>0</v>
      </c>
    </row>
    <row r="1491" spans="1:13" x14ac:dyDescent="0.3">
      <c r="A1491" s="124" t="s">
        <v>1080</v>
      </c>
      <c r="B1491" s="207" t="s">
        <v>127</v>
      </c>
      <c r="C1491" s="207" t="s">
        <v>1052</v>
      </c>
      <c r="D1491" s="146" t="s">
        <v>1054</v>
      </c>
      <c r="E1491" s="207">
        <v>13.117913832199545</v>
      </c>
      <c r="F1491" s="124">
        <v>20.918367346938773</v>
      </c>
      <c r="G1491" s="124">
        <v>60.285714285714285</v>
      </c>
      <c r="H1491" s="124">
        <v>60.285714285714285</v>
      </c>
      <c r="I1491" s="124">
        <v>47.167800453514744</v>
      </c>
      <c r="J1491" s="124">
        <v>81.204081632653057</v>
      </c>
      <c r="K1491" s="445">
        <f t="shared" si="57"/>
        <v>-39.714285714285715</v>
      </c>
      <c r="L1491" s="445">
        <f t="shared" si="58"/>
        <v>-52.832199546485256</v>
      </c>
      <c r="M1491" s="445">
        <f t="shared" si="59"/>
        <v>-18.795918367346943</v>
      </c>
    </row>
    <row r="1492" spans="1:13" x14ac:dyDescent="0.3">
      <c r="A1492" s="124" t="s">
        <v>1080</v>
      </c>
      <c r="B1492" s="207" t="s">
        <v>127</v>
      </c>
      <c r="C1492" s="207" t="s">
        <v>1056</v>
      </c>
      <c r="D1492" s="146" t="s">
        <v>1054</v>
      </c>
      <c r="E1492" s="207">
        <v>12.831932773109244</v>
      </c>
      <c r="F1492" s="146">
        <v>19.529411764705884</v>
      </c>
      <c r="G1492" s="146">
        <v>69.714285714285708</v>
      </c>
      <c r="H1492" s="146">
        <v>69.714285714285708</v>
      </c>
      <c r="I1492" s="146">
        <v>56.882352941176464</v>
      </c>
      <c r="J1492" s="146">
        <v>89.243697478991592</v>
      </c>
      <c r="K1492" s="445">
        <f t="shared" si="57"/>
        <v>-30.285714285714292</v>
      </c>
      <c r="L1492" s="445">
        <f t="shared" si="58"/>
        <v>-43.117647058823536</v>
      </c>
      <c r="M1492" s="445">
        <f t="shared" si="59"/>
        <v>-10.756302521008408</v>
      </c>
    </row>
    <row r="1493" spans="1:13" x14ac:dyDescent="0.3">
      <c r="A1493" s="124" t="s">
        <v>1080</v>
      </c>
      <c r="B1493" s="207" t="s">
        <v>127</v>
      </c>
      <c r="C1493" s="207" t="s">
        <v>1057</v>
      </c>
      <c r="D1493" s="146" t="s">
        <v>1054</v>
      </c>
      <c r="E1493" s="207">
        <v>13.733023033774913</v>
      </c>
      <c r="F1493" s="146">
        <v>3.8253968253968256</v>
      </c>
      <c r="G1493" s="146">
        <v>96.285714285714292</v>
      </c>
      <c r="H1493" s="146">
        <v>96.285714285714292</v>
      </c>
      <c r="I1493" s="146">
        <v>82.552691251939379</v>
      </c>
      <c r="J1493" s="146">
        <v>100.11111111111111</v>
      </c>
      <c r="K1493" s="445">
        <f t="shared" si="57"/>
        <v>-3.7142857142857082</v>
      </c>
      <c r="L1493" s="445">
        <f t="shared" si="58"/>
        <v>-17.447308748060621</v>
      </c>
      <c r="M1493" s="445">
        <f t="shared" si="59"/>
        <v>0.11111111111111427</v>
      </c>
    </row>
    <row r="1494" spans="1:13" x14ac:dyDescent="0.3">
      <c r="A1494" s="124" t="s">
        <v>1080</v>
      </c>
      <c r="B1494" s="207" t="s">
        <v>127</v>
      </c>
      <c r="C1494" s="207" t="s">
        <v>1052</v>
      </c>
      <c r="D1494" s="124" t="s">
        <v>1055</v>
      </c>
      <c r="E1494" s="207">
        <v>15.054421768707481</v>
      </c>
      <c r="F1494" s="124">
        <v>15.848072562358277</v>
      </c>
      <c r="G1494" s="124">
        <v>73.857142857142861</v>
      </c>
      <c r="H1494" s="124">
        <v>73.857142857142861</v>
      </c>
      <c r="I1494" s="124">
        <v>58.802721088435376</v>
      </c>
      <c r="J1494" s="124">
        <v>89.705215419501144</v>
      </c>
      <c r="K1494" s="445">
        <f t="shared" si="57"/>
        <v>-26.142857142857139</v>
      </c>
      <c r="L1494" s="445">
        <f t="shared" si="58"/>
        <v>-41.197278911564624</v>
      </c>
      <c r="M1494" s="445">
        <f t="shared" si="59"/>
        <v>-10.294784580498856</v>
      </c>
    </row>
    <row r="1495" spans="1:13" x14ac:dyDescent="0.3">
      <c r="A1495" s="124" t="s">
        <v>1080</v>
      </c>
      <c r="B1495" s="207" t="s">
        <v>127</v>
      </c>
      <c r="C1495" s="207" t="s">
        <v>1056</v>
      </c>
      <c r="D1495" s="124" t="s">
        <v>1055</v>
      </c>
      <c r="E1495" s="207">
        <v>16.498599439775909</v>
      </c>
      <c r="F1495" s="124">
        <v>12.91596638655462</v>
      </c>
      <c r="G1495" s="124">
        <v>85</v>
      </c>
      <c r="H1495" s="124">
        <v>85</v>
      </c>
      <c r="I1495" s="124">
        <v>68.501400560224084</v>
      </c>
      <c r="J1495" s="124">
        <v>97.915966386554615</v>
      </c>
      <c r="K1495" s="445">
        <f t="shared" si="57"/>
        <v>-15</v>
      </c>
      <c r="L1495" s="445">
        <f t="shared" si="58"/>
        <v>-31.498599439775916</v>
      </c>
      <c r="M1495" s="445">
        <f t="shared" si="59"/>
        <v>-2.084033613445385</v>
      </c>
    </row>
    <row r="1496" spans="1:13" ht="15" thickBot="1" x14ac:dyDescent="0.35">
      <c r="A1496" s="124" t="s">
        <v>1080</v>
      </c>
      <c r="B1496" s="629" t="s">
        <v>127</v>
      </c>
      <c r="C1496" s="629" t="s">
        <v>1057</v>
      </c>
      <c r="D1496" s="577" t="s">
        <v>1055</v>
      </c>
      <c r="E1496" s="629">
        <v>15.411385606874328</v>
      </c>
      <c r="F1496" s="577">
        <v>5.0569280343716434</v>
      </c>
      <c r="G1496" s="577">
        <v>94.428571428571431</v>
      </c>
      <c r="H1496" s="577">
        <v>94.428571428571431</v>
      </c>
      <c r="I1496" s="577">
        <v>79.017185821697097</v>
      </c>
      <c r="J1496" s="577">
        <v>99.485499462943068</v>
      </c>
      <c r="K1496" s="445">
        <f t="shared" si="57"/>
        <v>-5.5714285714285694</v>
      </c>
      <c r="L1496" s="445">
        <f t="shared" si="58"/>
        <v>-20.982814178302903</v>
      </c>
      <c r="M1496" s="445">
        <f t="shared" si="59"/>
        <v>-0.51450053705693222</v>
      </c>
    </row>
    <row r="1497" spans="1:13" x14ac:dyDescent="0.3">
      <c r="A1497" s="124" t="s">
        <v>1080</v>
      </c>
      <c r="B1497" s="292" t="s">
        <v>129</v>
      </c>
      <c r="C1497" s="292" t="s">
        <v>1052</v>
      </c>
      <c r="D1497" s="293" t="s">
        <v>1053</v>
      </c>
      <c r="E1497" s="292">
        <v>16.170068027210885</v>
      </c>
      <c r="F1497" s="293">
        <v>11.607709750566894</v>
      </c>
      <c r="G1497" s="293">
        <v>72.428571428571431</v>
      </c>
      <c r="H1497" s="293">
        <v>72.428571428571431</v>
      </c>
      <c r="I1497" s="293">
        <v>56.258503401360542</v>
      </c>
      <c r="J1497" s="293">
        <v>84.036281179138328</v>
      </c>
      <c r="K1497" s="445">
        <f t="shared" si="57"/>
        <v>-27.571428571428569</v>
      </c>
      <c r="L1497" s="445">
        <f t="shared" si="58"/>
        <v>-43.741496598639458</v>
      </c>
      <c r="M1497" s="445">
        <f t="shared" si="59"/>
        <v>-15.963718820861672</v>
      </c>
    </row>
    <row r="1498" spans="1:13" x14ac:dyDescent="0.3">
      <c r="A1498" s="124" t="s">
        <v>1080</v>
      </c>
      <c r="B1498" s="207" t="s">
        <v>129</v>
      </c>
      <c r="C1498" s="207" t="s">
        <v>1056</v>
      </c>
      <c r="D1498" s="124" t="s">
        <v>1053</v>
      </c>
      <c r="E1498" s="207">
        <v>17.369347739095637</v>
      </c>
      <c r="F1498" s="124">
        <v>9.3693477390956392</v>
      </c>
      <c r="G1498" s="124">
        <v>84.714285714285708</v>
      </c>
      <c r="H1498" s="124">
        <v>84.714285714285708</v>
      </c>
      <c r="I1498" s="124">
        <v>67.344937975190078</v>
      </c>
      <c r="J1498" s="124">
        <v>94.083633453381353</v>
      </c>
      <c r="K1498" s="445">
        <f t="shared" si="57"/>
        <v>-15.285714285714292</v>
      </c>
      <c r="L1498" s="445">
        <f t="shared" si="58"/>
        <v>-32.655062024809922</v>
      </c>
      <c r="M1498" s="445">
        <f t="shared" si="59"/>
        <v>-5.9163665466186472</v>
      </c>
    </row>
    <row r="1499" spans="1:13" x14ac:dyDescent="0.3">
      <c r="A1499" s="124" t="s">
        <v>1080</v>
      </c>
      <c r="B1499" s="207" t="s">
        <v>129</v>
      </c>
      <c r="C1499" s="207" t="s">
        <v>1057</v>
      </c>
      <c r="D1499" s="146" t="s">
        <v>1053</v>
      </c>
      <c r="E1499" s="207">
        <v>0</v>
      </c>
      <c r="F1499" s="146">
        <v>0</v>
      </c>
      <c r="G1499" s="146">
        <v>100</v>
      </c>
      <c r="H1499" s="146">
        <v>100</v>
      </c>
      <c r="I1499" s="146">
        <v>100</v>
      </c>
      <c r="J1499" s="146">
        <v>100</v>
      </c>
      <c r="K1499" s="445">
        <f t="shared" si="57"/>
        <v>0</v>
      </c>
      <c r="L1499" s="445">
        <f t="shared" si="58"/>
        <v>0</v>
      </c>
      <c r="M1499" s="445">
        <f t="shared" si="59"/>
        <v>0</v>
      </c>
    </row>
    <row r="1500" spans="1:13" x14ac:dyDescent="0.3">
      <c r="A1500" s="124" t="s">
        <v>1080</v>
      </c>
      <c r="B1500" s="207" t="s">
        <v>129</v>
      </c>
      <c r="C1500" s="207" t="s">
        <v>1052</v>
      </c>
      <c r="D1500" s="146" t="s">
        <v>1054</v>
      </c>
      <c r="E1500" s="207">
        <v>13.312925170068027</v>
      </c>
      <c r="F1500" s="146">
        <v>23.036281179138317</v>
      </c>
      <c r="G1500" s="146">
        <v>56.714285714285715</v>
      </c>
      <c r="H1500" s="146">
        <v>56.714285714285715</v>
      </c>
      <c r="I1500" s="146">
        <v>43.401360544217688</v>
      </c>
      <c r="J1500" s="146">
        <v>79.750566893424036</v>
      </c>
      <c r="K1500" s="445">
        <f t="shared" si="57"/>
        <v>-43.285714285714285</v>
      </c>
      <c r="L1500" s="445">
        <f t="shared" si="58"/>
        <v>-56.598639455782312</v>
      </c>
      <c r="M1500" s="445">
        <f t="shared" si="59"/>
        <v>-20.249433106575964</v>
      </c>
    </row>
    <row r="1501" spans="1:13" x14ac:dyDescent="0.3">
      <c r="A1501" s="124" t="s">
        <v>1080</v>
      </c>
      <c r="B1501" s="207" t="s">
        <v>129</v>
      </c>
      <c r="C1501" s="207" t="s">
        <v>1056</v>
      </c>
      <c r="D1501" s="124" t="s">
        <v>1054</v>
      </c>
      <c r="E1501" s="207">
        <v>18.933973589435773</v>
      </c>
      <c r="F1501" s="124">
        <v>12.054421768707483</v>
      </c>
      <c r="G1501" s="124">
        <v>76.142857142857139</v>
      </c>
      <c r="H1501" s="124">
        <v>76.142857142857139</v>
      </c>
      <c r="I1501" s="124">
        <v>57.208883553421366</v>
      </c>
      <c r="J1501" s="124">
        <v>88.197278911564624</v>
      </c>
      <c r="K1501" s="445">
        <f t="shared" si="57"/>
        <v>-23.857142857142861</v>
      </c>
      <c r="L1501" s="445">
        <f t="shared" si="58"/>
        <v>-42.791116446578634</v>
      </c>
      <c r="M1501" s="445">
        <f t="shared" si="59"/>
        <v>-11.802721088435376</v>
      </c>
    </row>
    <row r="1502" spans="1:13" x14ac:dyDescent="0.3">
      <c r="A1502" s="124" t="s">
        <v>1080</v>
      </c>
      <c r="B1502" s="207" t="s">
        <v>129</v>
      </c>
      <c r="C1502" s="207" t="s">
        <v>1057</v>
      </c>
      <c r="D1502" s="146" t="s">
        <v>1054</v>
      </c>
      <c r="E1502" s="207">
        <v>10.313521899988066</v>
      </c>
      <c r="F1502" s="146">
        <v>3.1428571428571428</v>
      </c>
      <c r="G1502" s="146">
        <v>96.571428571428569</v>
      </c>
      <c r="H1502" s="146">
        <v>96.571428571428569</v>
      </c>
      <c r="I1502" s="146">
        <v>86.257906671440509</v>
      </c>
      <c r="J1502" s="146">
        <v>99.714285714285708</v>
      </c>
      <c r="K1502" s="445">
        <f t="shared" si="57"/>
        <v>-3.4285714285714306</v>
      </c>
      <c r="L1502" s="445">
        <f t="shared" si="58"/>
        <v>-13.742093328559491</v>
      </c>
      <c r="M1502" s="445">
        <f t="shared" si="59"/>
        <v>-0.2857142857142918</v>
      </c>
    </row>
    <row r="1503" spans="1:13" x14ac:dyDescent="0.3">
      <c r="A1503" s="124" t="s">
        <v>1080</v>
      </c>
      <c r="B1503" s="207" t="s">
        <v>129</v>
      </c>
      <c r="C1503" s="207" t="s">
        <v>1052</v>
      </c>
      <c r="D1503" s="124" t="s">
        <v>1055</v>
      </c>
      <c r="E1503" s="207">
        <v>17.28344671201814</v>
      </c>
      <c r="F1503" s="124">
        <v>9.5374149659863949</v>
      </c>
      <c r="G1503" s="124">
        <v>77.142857142857139</v>
      </c>
      <c r="H1503" s="124">
        <v>77.142857142857139</v>
      </c>
      <c r="I1503" s="124">
        <v>59.859410430838999</v>
      </c>
      <c r="J1503" s="124">
        <v>86.680272108843539</v>
      </c>
      <c r="K1503" s="445">
        <f t="shared" si="57"/>
        <v>-22.857142857142861</v>
      </c>
      <c r="L1503" s="445">
        <f t="shared" si="58"/>
        <v>-40.140589569161001</v>
      </c>
      <c r="M1503" s="445">
        <f t="shared" si="59"/>
        <v>-13.319727891156461</v>
      </c>
    </row>
    <row r="1504" spans="1:13" x14ac:dyDescent="0.3">
      <c r="A1504" s="124" t="s">
        <v>1080</v>
      </c>
      <c r="B1504" s="207" t="s">
        <v>129</v>
      </c>
      <c r="C1504" s="207" t="s">
        <v>1056</v>
      </c>
      <c r="D1504" s="146" t="s">
        <v>1055</v>
      </c>
      <c r="E1504" s="207">
        <v>13.540616246498599</v>
      </c>
      <c r="F1504" s="146">
        <v>8.1120448179271705</v>
      </c>
      <c r="G1504" s="146">
        <v>88.428571428571431</v>
      </c>
      <c r="H1504" s="146">
        <v>88.428571428571431</v>
      </c>
      <c r="I1504" s="146">
        <v>74.88795518207283</v>
      </c>
      <c r="J1504" s="146">
        <v>96.540616246498601</v>
      </c>
      <c r="K1504" s="445">
        <f t="shared" si="57"/>
        <v>-11.571428571428569</v>
      </c>
      <c r="L1504" s="445">
        <f t="shared" si="58"/>
        <v>-25.11204481792717</v>
      </c>
      <c r="M1504" s="445">
        <f t="shared" si="59"/>
        <v>-3.4593837535013989</v>
      </c>
    </row>
    <row r="1505" spans="1:13" ht="15" thickBot="1" x14ac:dyDescent="0.35">
      <c r="A1505" s="124" t="s">
        <v>1080</v>
      </c>
      <c r="B1505" s="629" t="s">
        <v>129</v>
      </c>
      <c r="C1505" s="629" t="s">
        <v>1057</v>
      </c>
      <c r="D1505" s="577" t="s">
        <v>1055</v>
      </c>
      <c r="E1505" s="629">
        <v>12.371369600471768</v>
      </c>
      <c r="F1505" s="577">
        <v>4.2938227922748045</v>
      </c>
      <c r="G1505" s="577">
        <v>95.142857142857139</v>
      </c>
      <c r="H1505" s="577">
        <v>95.142857142857139</v>
      </c>
      <c r="I1505" s="577">
        <v>82.771487542385373</v>
      </c>
      <c r="J1505" s="577">
        <v>99.436679935131949</v>
      </c>
      <c r="K1505" s="445">
        <f t="shared" si="57"/>
        <v>-4.8571428571428612</v>
      </c>
      <c r="L1505" s="445">
        <f t="shared" si="58"/>
        <v>-17.228512457614627</v>
      </c>
      <c r="M1505" s="445">
        <f t="shared" si="59"/>
        <v>-0.56332006486805142</v>
      </c>
    </row>
    <row r="1506" spans="1:13" x14ac:dyDescent="0.3">
      <c r="A1506" s="124" t="s">
        <v>1080</v>
      </c>
      <c r="B1506" s="292" t="s">
        <v>131</v>
      </c>
      <c r="C1506" s="292" t="s">
        <v>1052</v>
      </c>
      <c r="D1506" s="293" t="s">
        <v>1053</v>
      </c>
      <c r="E1506" s="292">
        <v>14.58169934640523</v>
      </c>
      <c r="F1506" s="293">
        <v>18.026143790849673</v>
      </c>
      <c r="G1506" s="293">
        <v>55</v>
      </c>
      <c r="H1506" s="293">
        <v>55</v>
      </c>
      <c r="I1506" s="293">
        <v>40.41830065359477</v>
      </c>
      <c r="J1506" s="293">
        <v>73.026143790849673</v>
      </c>
      <c r="K1506" s="445">
        <f t="shared" si="57"/>
        <v>-45</v>
      </c>
      <c r="L1506" s="445">
        <f t="shared" si="58"/>
        <v>-59.58169934640523</v>
      </c>
      <c r="M1506" s="445">
        <f t="shared" si="59"/>
        <v>-26.973856209150327</v>
      </c>
    </row>
    <row r="1507" spans="1:13" x14ac:dyDescent="0.3">
      <c r="A1507" s="124" t="s">
        <v>1080</v>
      </c>
      <c r="B1507" s="207" t="s">
        <v>131</v>
      </c>
      <c r="C1507" s="207" t="s">
        <v>1056</v>
      </c>
      <c r="D1507" s="146" t="s">
        <v>1053</v>
      </c>
      <c r="E1507" s="207">
        <v>11.571428571428571</v>
      </c>
      <c r="F1507" s="146">
        <v>9.9047619047619051</v>
      </c>
      <c r="G1507" s="146">
        <v>81.666666666666671</v>
      </c>
      <c r="H1507" s="146">
        <v>81.666666666666671</v>
      </c>
      <c r="I1507" s="146">
        <v>70.095238095238102</v>
      </c>
      <c r="J1507" s="146">
        <v>91.571428571428584</v>
      </c>
      <c r="K1507" s="445">
        <f t="shared" si="57"/>
        <v>-18.333333333333329</v>
      </c>
      <c r="L1507" s="445">
        <f t="shared" si="58"/>
        <v>-29.904761904761898</v>
      </c>
      <c r="M1507" s="445">
        <f t="shared" si="59"/>
        <v>-8.4285714285714164</v>
      </c>
    </row>
    <row r="1508" spans="1:13" x14ac:dyDescent="0.3">
      <c r="A1508" s="124" t="s">
        <v>1080</v>
      </c>
      <c r="B1508" s="207" t="s">
        <v>131</v>
      </c>
      <c r="C1508" s="207" t="s">
        <v>1057</v>
      </c>
      <c r="D1508" s="146" t="s">
        <v>1053</v>
      </c>
      <c r="E1508" s="207">
        <v>0</v>
      </c>
      <c r="F1508" s="124">
        <v>0</v>
      </c>
      <c r="G1508" s="124">
        <v>100</v>
      </c>
      <c r="H1508" s="124">
        <v>100</v>
      </c>
      <c r="I1508" s="124">
        <v>100</v>
      </c>
      <c r="J1508" s="124">
        <v>100</v>
      </c>
      <c r="K1508" s="445">
        <f t="shared" si="57"/>
        <v>0</v>
      </c>
      <c r="L1508" s="445">
        <f t="shared" si="58"/>
        <v>0</v>
      </c>
      <c r="M1508" s="445">
        <f t="shared" si="59"/>
        <v>0</v>
      </c>
    </row>
    <row r="1509" spans="1:13" x14ac:dyDescent="0.3">
      <c r="A1509" s="124" t="s">
        <v>1080</v>
      </c>
      <c r="B1509" s="207" t="s">
        <v>131</v>
      </c>
      <c r="C1509" s="207" t="s">
        <v>1052</v>
      </c>
      <c r="D1509" s="146" t="s">
        <v>1054</v>
      </c>
      <c r="E1509" s="207">
        <v>20.216619981325863</v>
      </c>
      <c r="F1509" s="124">
        <v>22.216619981325863</v>
      </c>
      <c r="G1509" s="124">
        <v>40.333333333333336</v>
      </c>
      <c r="H1509" s="124">
        <v>40.333333333333336</v>
      </c>
      <c r="I1509" s="124">
        <v>20.116713352007473</v>
      </c>
      <c r="J1509" s="124">
        <v>62.549953314659199</v>
      </c>
      <c r="K1509" s="445">
        <f t="shared" si="57"/>
        <v>-59.666666666666664</v>
      </c>
      <c r="L1509" s="445">
        <f t="shared" si="58"/>
        <v>-79.88328664799252</v>
      </c>
      <c r="M1509" s="445">
        <f t="shared" si="59"/>
        <v>-37.450046685340801</v>
      </c>
    </row>
    <row r="1510" spans="1:13" x14ac:dyDescent="0.3">
      <c r="A1510" s="124" t="s">
        <v>1080</v>
      </c>
      <c r="B1510" s="207" t="s">
        <v>131</v>
      </c>
      <c r="C1510" s="207" t="s">
        <v>1056</v>
      </c>
      <c r="D1510" s="146" t="s">
        <v>1054</v>
      </c>
      <c r="E1510" s="207">
        <v>19.420634920634917</v>
      </c>
      <c r="F1510" s="146">
        <v>17.579365079365079</v>
      </c>
      <c r="G1510" s="146">
        <v>63.666666666666664</v>
      </c>
      <c r="H1510" s="146">
        <v>63.666666666666664</v>
      </c>
      <c r="I1510" s="146">
        <v>44.246031746031747</v>
      </c>
      <c r="J1510" s="146">
        <v>81.246031746031747</v>
      </c>
      <c r="K1510" s="445">
        <f t="shared" si="57"/>
        <v>-36.333333333333336</v>
      </c>
      <c r="L1510" s="445">
        <f t="shared" si="58"/>
        <v>-55.753968253968253</v>
      </c>
      <c r="M1510" s="445">
        <f t="shared" si="59"/>
        <v>-18.753968253968253</v>
      </c>
    </row>
    <row r="1511" spans="1:13" x14ac:dyDescent="0.3">
      <c r="A1511" s="124" t="s">
        <v>1080</v>
      </c>
      <c r="B1511" s="207" t="s">
        <v>131</v>
      </c>
      <c r="C1511" s="207" t="s">
        <v>1057</v>
      </c>
      <c r="D1511" s="146" t="s">
        <v>1054</v>
      </c>
      <c r="E1511" s="207">
        <v>7.9420774157616245</v>
      </c>
      <c r="F1511" s="146">
        <v>10.138680033416874</v>
      </c>
      <c r="G1511" s="146">
        <v>88.5</v>
      </c>
      <c r="H1511" s="146">
        <v>88.5</v>
      </c>
      <c r="I1511" s="146">
        <v>80.557922584238369</v>
      </c>
      <c r="J1511" s="146">
        <v>98.638680033416875</v>
      </c>
      <c r="K1511" s="445">
        <f t="shared" si="57"/>
        <v>-11.5</v>
      </c>
      <c r="L1511" s="445">
        <f t="shared" si="58"/>
        <v>-19.442077415761631</v>
      </c>
      <c r="M1511" s="445">
        <f t="shared" si="59"/>
        <v>-1.3613199665831246</v>
      </c>
    </row>
    <row r="1512" spans="1:13" x14ac:dyDescent="0.3">
      <c r="A1512" s="124" t="s">
        <v>1080</v>
      </c>
      <c r="B1512" s="207" t="s">
        <v>131</v>
      </c>
      <c r="C1512" s="207" t="s">
        <v>1052</v>
      </c>
      <c r="D1512" s="146" t="s">
        <v>1055</v>
      </c>
      <c r="E1512" s="207">
        <v>18.384687208216622</v>
      </c>
      <c r="F1512" s="146">
        <v>22.718020541549958</v>
      </c>
      <c r="G1512" s="146">
        <v>48.666666666666664</v>
      </c>
      <c r="H1512" s="146">
        <v>48.666666666666664</v>
      </c>
      <c r="I1512" s="146">
        <v>30.281979458450042</v>
      </c>
      <c r="J1512" s="146">
        <v>71.384687208216619</v>
      </c>
      <c r="K1512" s="445">
        <f t="shared" si="57"/>
        <v>-51.333333333333336</v>
      </c>
      <c r="L1512" s="445">
        <f t="shared" si="58"/>
        <v>-69.718020541549961</v>
      </c>
      <c r="M1512" s="445">
        <f t="shared" si="59"/>
        <v>-28.615312791783381</v>
      </c>
    </row>
    <row r="1513" spans="1:13" x14ac:dyDescent="0.3">
      <c r="A1513" s="124" t="s">
        <v>1080</v>
      </c>
      <c r="B1513" s="207" t="s">
        <v>131</v>
      </c>
      <c r="C1513" s="207" t="s">
        <v>1056</v>
      </c>
      <c r="D1513" s="124" t="s">
        <v>1055</v>
      </c>
      <c r="E1513" s="207">
        <v>17.37301587301587</v>
      </c>
      <c r="F1513" s="124">
        <v>18.904761904761902</v>
      </c>
      <c r="G1513" s="124">
        <v>70</v>
      </c>
      <c r="H1513" s="124">
        <v>70</v>
      </c>
      <c r="I1513" s="124">
        <v>52.626984126984127</v>
      </c>
      <c r="J1513" s="124">
        <v>88.904761904761898</v>
      </c>
      <c r="K1513" s="445">
        <f t="shared" si="57"/>
        <v>-30</v>
      </c>
      <c r="L1513" s="445">
        <f t="shared" si="58"/>
        <v>-47.373015873015873</v>
      </c>
      <c r="M1513" s="445">
        <f t="shared" si="59"/>
        <v>-11.095238095238102</v>
      </c>
    </row>
    <row r="1514" spans="1:13" ht="15" thickBot="1" x14ac:dyDescent="0.35">
      <c r="A1514" s="124" t="s">
        <v>1080</v>
      </c>
      <c r="B1514" s="629" t="s">
        <v>131</v>
      </c>
      <c r="C1514" s="629" t="s">
        <v>1057</v>
      </c>
      <c r="D1514" s="577" t="s">
        <v>1055</v>
      </c>
      <c r="E1514" s="629">
        <v>14.924672793093846</v>
      </c>
      <c r="F1514" s="577">
        <v>10.760651629072681</v>
      </c>
      <c r="G1514" s="577">
        <v>85.333333333333329</v>
      </c>
      <c r="H1514" s="577">
        <v>85.333333333333329</v>
      </c>
      <c r="I1514" s="577">
        <v>70.408660540239481</v>
      </c>
      <c r="J1514" s="577">
        <v>96.093984962406012</v>
      </c>
      <c r="K1514" s="445">
        <f t="shared" si="57"/>
        <v>-14.666666666666671</v>
      </c>
      <c r="L1514" s="445">
        <f t="shared" si="58"/>
        <v>-29.591339459760519</v>
      </c>
      <c r="M1514" s="445">
        <f t="shared" si="59"/>
        <v>-3.9060150375939884</v>
      </c>
    </row>
    <row r="1515" spans="1:13" x14ac:dyDescent="0.3">
      <c r="A1515" s="124" t="s">
        <v>1080</v>
      </c>
      <c r="B1515" s="292" t="s">
        <v>133</v>
      </c>
      <c r="C1515" s="292" t="s">
        <v>1052</v>
      </c>
      <c r="D1515" s="293" t="s">
        <v>1053</v>
      </c>
      <c r="E1515" s="292">
        <v>13.748366013071896</v>
      </c>
      <c r="F1515" s="293">
        <v>16.359477124183005</v>
      </c>
      <c r="G1515" s="293">
        <v>53.333333333333336</v>
      </c>
      <c r="H1515" s="293">
        <v>53.333333333333336</v>
      </c>
      <c r="I1515" s="293">
        <v>39.584967320261441</v>
      </c>
      <c r="J1515" s="293">
        <v>69.692810457516345</v>
      </c>
      <c r="K1515" s="445">
        <f t="shared" si="57"/>
        <v>-46.666666666666664</v>
      </c>
      <c r="L1515" s="445">
        <f t="shared" si="58"/>
        <v>-60.415032679738559</v>
      </c>
      <c r="M1515" s="445">
        <f t="shared" si="59"/>
        <v>-30.307189542483655</v>
      </c>
    </row>
    <row r="1516" spans="1:13" x14ac:dyDescent="0.3">
      <c r="A1516" s="124" t="s">
        <v>1080</v>
      </c>
      <c r="B1516" s="207" t="s">
        <v>133</v>
      </c>
      <c r="C1516" s="207" t="s">
        <v>1056</v>
      </c>
      <c r="D1516" s="146" t="s">
        <v>1053</v>
      </c>
      <c r="E1516" s="207">
        <v>10.738095238095239</v>
      </c>
      <c r="F1516" s="146">
        <v>9.0714285714285712</v>
      </c>
      <c r="G1516" s="146">
        <v>80.833333333333329</v>
      </c>
      <c r="H1516" s="146">
        <v>80.833333333333329</v>
      </c>
      <c r="I1516" s="146">
        <v>70.095238095238088</v>
      </c>
      <c r="J1516" s="146">
        <v>89.904761904761898</v>
      </c>
      <c r="K1516" s="445">
        <f t="shared" si="57"/>
        <v>-19.166666666666671</v>
      </c>
      <c r="L1516" s="445">
        <f t="shared" si="58"/>
        <v>-29.904761904761912</v>
      </c>
      <c r="M1516" s="445">
        <f t="shared" si="59"/>
        <v>-10.095238095238102</v>
      </c>
    </row>
    <row r="1517" spans="1:13" x14ac:dyDescent="0.3">
      <c r="A1517" s="124" t="s">
        <v>1080</v>
      </c>
      <c r="B1517" s="207" t="s">
        <v>133</v>
      </c>
      <c r="C1517" s="207" t="s">
        <v>1057</v>
      </c>
      <c r="D1517" s="146" t="s">
        <v>1053</v>
      </c>
      <c r="E1517" s="207">
        <v>0</v>
      </c>
      <c r="F1517" s="124">
        <v>0</v>
      </c>
      <c r="G1517" s="124">
        <v>100</v>
      </c>
      <c r="H1517" s="124">
        <v>100</v>
      </c>
      <c r="I1517" s="124">
        <v>100</v>
      </c>
      <c r="J1517" s="124">
        <v>100</v>
      </c>
      <c r="K1517" s="445">
        <f t="shared" si="57"/>
        <v>0</v>
      </c>
      <c r="L1517" s="445">
        <f t="shared" si="58"/>
        <v>0</v>
      </c>
      <c r="M1517" s="445">
        <f t="shared" si="59"/>
        <v>0</v>
      </c>
    </row>
    <row r="1518" spans="1:13" x14ac:dyDescent="0.3">
      <c r="A1518" s="124" t="s">
        <v>1080</v>
      </c>
      <c r="B1518" s="207" t="s">
        <v>133</v>
      </c>
      <c r="C1518" s="207" t="s">
        <v>1052</v>
      </c>
      <c r="D1518" s="124" t="s">
        <v>1054</v>
      </c>
      <c r="E1518" s="207">
        <v>19.248366013071898</v>
      </c>
      <c r="F1518" s="124">
        <v>20.240429505135385</v>
      </c>
      <c r="G1518" s="124">
        <v>37.5</v>
      </c>
      <c r="H1518" s="124">
        <v>37.5</v>
      </c>
      <c r="I1518" s="124">
        <v>18.251633986928102</v>
      </c>
      <c r="J1518" s="124">
        <v>57.740429505135381</v>
      </c>
      <c r="K1518" s="445">
        <f t="shared" si="57"/>
        <v>-62.5</v>
      </c>
      <c r="L1518" s="445">
        <f t="shared" si="58"/>
        <v>-81.748366013071902</v>
      </c>
      <c r="M1518" s="445">
        <f t="shared" si="59"/>
        <v>-42.259570494864619</v>
      </c>
    </row>
    <row r="1519" spans="1:13" x14ac:dyDescent="0.3">
      <c r="A1519" s="124" t="s">
        <v>1080</v>
      </c>
      <c r="B1519" s="207" t="s">
        <v>133</v>
      </c>
      <c r="C1519" s="207" t="s">
        <v>1056</v>
      </c>
      <c r="D1519" s="124" t="s">
        <v>1054</v>
      </c>
      <c r="E1519" s="207">
        <v>22.206349206349206</v>
      </c>
      <c r="F1519" s="124">
        <v>15.666666666666664</v>
      </c>
      <c r="G1519" s="124">
        <v>64.166666666666671</v>
      </c>
      <c r="H1519" s="124">
        <v>64.166666666666671</v>
      </c>
      <c r="I1519" s="124">
        <v>41.960317460317469</v>
      </c>
      <c r="J1519" s="124">
        <v>79.833333333333343</v>
      </c>
      <c r="K1519" s="445">
        <f t="shared" si="57"/>
        <v>-35.833333333333329</v>
      </c>
      <c r="L1519" s="445">
        <f t="shared" si="58"/>
        <v>-58.039682539682531</v>
      </c>
      <c r="M1519" s="445">
        <f t="shared" si="59"/>
        <v>-20.166666666666657</v>
      </c>
    </row>
    <row r="1520" spans="1:13" x14ac:dyDescent="0.3">
      <c r="A1520" s="124" t="s">
        <v>1080</v>
      </c>
      <c r="B1520" s="207" t="s">
        <v>133</v>
      </c>
      <c r="C1520" s="207" t="s">
        <v>1057</v>
      </c>
      <c r="D1520" s="146" t="s">
        <v>1054</v>
      </c>
      <c r="E1520" s="207">
        <v>9.6642996379838468</v>
      </c>
      <c r="F1520" s="146">
        <v>7.2683096630465052</v>
      </c>
      <c r="G1520" s="146">
        <v>91.833333333333329</v>
      </c>
      <c r="H1520" s="146">
        <v>91.833333333333329</v>
      </c>
      <c r="I1520" s="146">
        <v>82.169033695349484</v>
      </c>
      <c r="J1520" s="146">
        <v>99.101642996379837</v>
      </c>
      <c r="K1520" s="445">
        <f t="shared" si="57"/>
        <v>-8.1666666666666714</v>
      </c>
      <c r="L1520" s="445">
        <f t="shared" si="58"/>
        <v>-17.830966304650516</v>
      </c>
      <c r="M1520" s="445">
        <f t="shared" si="59"/>
        <v>-0.89835700362016269</v>
      </c>
    </row>
    <row r="1521" spans="1:13" x14ac:dyDescent="0.3">
      <c r="A1521" s="124" t="s">
        <v>1080</v>
      </c>
      <c r="B1521" s="207" t="s">
        <v>133</v>
      </c>
      <c r="C1521" s="207" t="s">
        <v>1052</v>
      </c>
      <c r="D1521" s="146" t="s">
        <v>1055</v>
      </c>
      <c r="E1521" s="207">
        <v>18.487861811391223</v>
      </c>
      <c r="F1521" s="146">
        <v>21.948179271708682</v>
      </c>
      <c r="G1521" s="146">
        <v>46.666666666666664</v>
      </c>
      <c r="H1521" s="146">
        <v>46.666666666666664</v>
      </c>
      <c r="I1521" s="146">
        <v>28.178804855275441</v>
      </c>
      <c r="J1521" s="146">
        <v>68.614845938375339</v>
      </c>
      <c r="K1521" s="445">
        <f t="shared" si="57"/>
        <v>-53.333333333333336</v>
      </c>
      <c r="L1521" s="445">
        <f t="shared" si="58"/>
        <v>-71.821195144724555</v>
      </c>
      <c r="M1521" s="445">
        <f t="shared" si="59"/>
        <v>-31.385154061624661</v>
      </c>
    </row>
    <row r="1522" spans="1:13" x14ac:dyDescent="0.3">
      <c r="A1522" s="124" t="s">
        <v>1080</v>
      </c>
      <c r="B1522" s="207" t="s">
        <v>133</v>
      </c>
      <c r="C1522" s="207" t="s">
        <v>1056</v>
      </c>
      <c r="D1522" s="124" t="s">
        <v>1055</v>
      </c>
      <c r="E1522" s="207">
        <v>18.698412698412699</v>
      </c>
      <c r="F1522" s="124">
        <v>18.579365079365079</v>
      </c>
      <c r="G1522" s="124">
        <v>69.166666666666671</v>
      </c>
      <c r="H1522" s="124">
        <v>69.166666666666671</v>
      </c>
      <c r="I1522" s="124">
        <v>50.468253968253975</v>
      </c>
      <c r="J1522" s="124">
        <v>87.746031746031747</v>
      </c>
      <c r="K1522" s="445">
        <f t="shared" si="57"/>
        <v>-30.833333333333329</v>
      </c>
      <c r="L1522" s="445">
        <f t="shared" si="58"/>
        <v>-49.531746031746025</v>
      </c>
      <c r="M1522" s="445">
        <f t="shared" si="59"/>
        <v>-12.253968253968253</v>
      </c>
    </row>
    <row r="1523" spans="1:13" ht="15" thickBot="1" x14ac:dyDescent="0.35">
      <c r="A1523" s="124" t="s">
        <v>1080</v>
      </c>
      <c r="B1523" s="629" t="s">
        <v>133</v>
      </c>
      <c r="C1523" s="629" t="s">
        <v>1057</v>
      </c>
      <c r="D1523" s="577" t="s">
        <v>1055</v>
      </c>
      <c r="E1523" s="629">
        <v>13.332080200501252</v>
      </c>
      <c r="F1523" s="577">
        <v>8.7606516290726812</v>
      </c>
      <c r="G1523" s="577">
        <v>87.166666666666671</v>
      </c>
      <c r="H1523" s="577">
        <v>87.166666666666671</v>
      </c>
      <c r="I1523" s="577">
        <v>73.834586466165419</v>
      </c>
      <c r="J1523" s="577">
        <v>95.927318295739354</v>
      </c>
      <c r="K1523" s="445">
        <f t="shared" si="57"/>
        <v>-12.833333333333329</v>
      </c>
      <c r="L1523" s="445">
        <f t="shared" si="58"/>
        <v>-26.165413533834581</v>
      </c>
      <c r="M1523" s="445">
        <f t="shared" si="59"/>
        <v>-4.0726817042606456</v>
      </c>
    </row>
    <row r="1524" spans="1:13" x14ac:dyDescent="0.3">
      <c r="A1524" s="124" t="s">
        <v>1080</v>
      </c>
      <c r="B1524" s="292" t="s">
        <v>135</v>
      </c>
      <c r="C1524" s="292" t="s">
        <v>1052</v>
      </c>
      <c r="D1524" s="293" t="s">
        <v>1053</v>
      </c>
      <c r="E1524" s="292">
        <v>17.915032679738562</v>
      </c>
      <c r="F1524" s="293">
        <v>15.526143790849673</v>
      </c>
      <c r="G1524" s="293">
        <v>55.833333333333336</v>
      </c>
      <c r="H1524" s="293">
        <v>55.833333333333336</v>
      </c>
      <c r="I1524" s="293">
        <v>37.91830065359477</v>
      </c>
      <c r="J1524" s="293">
        <v>71.359477124183002</v>
      </c>
      <c r="K1524" s="445">
        <f t="shared" si="57"/>
        <v>-44.166666666666664</v>
      </c>
      <c r="L1524" s="445">
        <f t="shared" si="58"/>
        <v>-62.08169934640523</v>
      </c>
      <c r="M1524" s="445">
        <f t="shared" si="59"/>
        <v>-28.640522875816998</v>
      </c>
    </row>
    <row r="1525" spans="1:13" x14ac:dyDescent="0.3">
      <c r="A1525" s="124" t="s">
        <v>1080</v>
      </c>
      <c r="B1525" s="207" t="s">
        <v>135</v>
      </c>
      <c r="C1525" s="207" t="s">
        <v>1056</v>
      </c>
      <c r="D1525" s="146" t="s">
        <v>1053</v>
      </c>
      <c r="E1525" s="207">
        <v>9.5714285714285712</v>
      </c>
      <c r="F1525" s="146">
        <v>11.071428571428571</v>
      </c>
      <c r="G1525" s="146">
        <v>81.333333333333329</v>
      </c>
      <c r="H1525" s="146">
        <v>81.333333333333329</v>
      </c>
      <c r="I1525" s="146">
        <v>71.761904761904759</v>
      </c>
      <c r="J1525" s="146">
        <v>92.404761904761898</v>
      </c>
      <c r="K1525" s="445">
        <f t="shared" si="57"/>
        <v>-18.666666666666671</v>
      </c>
      <c r="L1525" s="445">
        <f t="shared" si="58"/>
        <v>-28.238095238095241</v>
      </c>
      <c r="M1525" s="445">
        <f t="shared" si="59"/>
        <v>-7.595238095238102</v>
      </c>
    </row>
    <row r="1526" spans="1:13" x14ac:dyDescent="0.3">
      <c r="A1526" s="124" t="s">
        <v>1080</v>
      </c>
      <c r="B1526" s="207" t="s">
        <v>135</v>
      </c>
      <c r="C1526" s="207" t="s">
        <v>1057</v>
      </c>
      <c r="D1526" s="146" t="s">
        <v>1053</v>
      </c>
      <c r="E1526" s="207">
        <v>0</v>
      </c>
      <c r="F1526" s="146">
        <v>0</v>
      </c>
      <c r="G1526" s="146">
        <v>100</v>
      </c>
      <c r="H1526" s="146">
        <v>100</v>
      </c>
      <c r="I1526" s="146">
        <v>100</v>
      </c>
      <c r="J1526" s="146">
        <v>100</v>
      </c>
      <c r="K1526" s="445">
        <f t="shared" si="57"/>
        <v>0</v>
      </c>
      <c r="L1526" s="445">
        <f t="shared" si="58"/>
        <v>0</v>
      </c>
      <c r="M1526" s="445">
        <f t="shared" si="59"/>
        <v>0</v>
      </c>
    </row>
    <row r="1527" spans="1:13" x14ac:dyDescent="0.3">
      <c r="A1527" s="124" t="s">
        <v>1080</v>
      </c>
      <c r="B1527" s="207" t="s">
        <v>135</v>
      </c>
      <c r="C1527" s="207" t="s">
        <v>1052</v>
      </c>
      <c r="D1527" s="146" t="s">
        <v>1054</v>
      </c>
      <c r="E1527" s="207">
        <v>21.629318394024278</v>
      </c>
      <c r="F1527" s="124">
        <v>20.240429505135385</v>
      </c>
      <c r="G1527" s="124">
        <v>39.166666666666664</v>
      </c>
      <c r="H1527" s="124">
        <v>39.166666666666664</v>
      </c>
      <c r="I1527" s="124">
        <v>17.537348272642387</v>
      </c>
      <c r="J1527" s="124">
        <v>59.407096171802053</v>
      </c>
      <c r="K1527" s="445">
        <f t="shared" si="57"/>
        <v>-60.833333333333336</v>
      </c>
      <c r="L1527" s="445">
        <f t="shared" si="58"/>
        <v>-82.46265172735761</v>
      </c>
      <c r="M1527" s="445">
        <f t="shared" si="59"/>
        <v>-40.592903828197947</v>
      </c>
    </row>
    <row r="1528" spans="1:13" x14ac:dyDescent="0.3">
      <c r="A1528" s="124" t="s">
        <v>1080</v>
      </c>
      <c r="B1528" s="207" t="s">
        <v>135</v>
      </c>
      <c r="C1528" s="207" t="s">
        <v>1056</v>
      </c>
      <c r="D1528" s="124" t="s">
        <v>1054</v>
      </c>
      <c r="E1528" s="207">
        <v>18.634920634920636</v>
      </c>
      <c r="F1528" s="124">
        <v>18.166666666666664</v>
      </c>
      <c r="G1528" s="124">
        <v>64.166666666666671</v>
      </c>
      <c r="H1528" s="124">
        <v>64.166666666666671</v>
      </c>
      <c r="I1528" s="124">
        <v>45.531746031746039</v>
      </c>
      <c r="J1528" s="124">
        <v>82.333333333333343</v>
      </c>
      <c r="K1528" s="445">
        <f t="shared" si="57"/>
        <v>-35.833333333333329</v>
      </c>
      <c r="L1528" s="445">
        <f t="shared" si="58"/>
        <v>-54.468253968253961</v>
      </c>
      <c r="M1528" s="445">
        <f t="shared" si="59"/>
        <v>-17.666666666666657</v>
      </c>
    </row>
    <row r="1529" spans="1:13" x14ac:dyDescent="0.3">
      <c r="A1529" s="124" t="s">
        <v>1080</v>
      </c>
      <c r="B1529" s="207" t="s">
        <v>135</v>
      </c>
      <c r="C1529" s="207" t="s">
        <v>1057</v>
      </c>
      <c r="D1529" s="124" t="s">
        <v>1054</v>
      </c>
      <c r="E1529" s="207">
        <v>10.140490114174323</v>
      </c>
      <c r="F1529" s="124">
        <v>8.696881091617934</v>
      </c>
      <c r="G1529" s="124">
        <v>90.166666666666671</v>
      </c>
      <c r="H1529" s="124">
        <v>90.166666666666671</v>
      </c>
      <c r="I1529" s="124">
        <v>80.026176552492345</v>
      </c>
      <c r="J1529" s="124">
        <v>98.863547758284611</v>
      </c>
      <c r="K1529" s="445">
        <f t="shared" si="57"/>
        <v>-9.8333333333333286</v>
      </c>
      <c r="L1529" s="445">
        <f t="shared" si="58"/>
        <v>-19.973823447507655</v>
      </c>
      <c r="M1529" s="445">
        <f t="shared" si="59"/>
        <v>-1.1364522417153893</v>
      </c>
    </row>
    <row r="1530" spans="1:13" x14ac:dyDescent="0.3">
      <c r="A1530" s="124" t="s">
        <v>1080</v>
      </c>
      <c r="B1530" s="207" t="s">
        <v>135</v>
      </c>
      <c r="C1530" s="207" t="s">
        <v>1052</v>
      </c>
      <c r="D1530" s="146" t="s">
        <v>1055</v>
      </c>
      <c r="E1530" s="207">
        <v>19.083099906629318</v>
      </c>
      <c r="F1530" s="146">
        <v>21.948179271708682</v>
      </c>
      <c r="G1530" s="146">
        <v>48.333333333333336</v>
      </c>
      <c r="H1530" s="146">
        <v>48.333333333333336</v>
      </c>
      <c r="I1530" s="146">
        <v>29.250233426704018</v>
      </c>
      <c r="J1530" s="146">
        <v>70.281512605042025</v>
      </c>
      <c r="K1530" s="445">
        <f t="shared" si="57"/>
        <v>-51.666666666666664</v>
      </c>
      <c r="L1530" s="445">
        <f t="shared" si="58"/>
        <v>-70.749766573295986</v>
      </c>
      <c r="M1530" s="445">
        <f t="shared" si="59"/>
        <v>-29.718487394957975</v>
      </c>
    </row>
    <row r="1531" spans="1:13" x14ac:dyDescent="0.3">
      <c r="A1531" s="124" t="s">
        <v>1080</v>
      </c>
      <c r="B1531" s="207" t="s">
        <v>135</v>
      </c>
      <c r="C1531" s="207" t="s">
        <v>1056</v>
      </c>
      <c r="D1531" s="124" t="s">
        <v>1055</v>
      </c>
      <c r="E1531" s="207">
        <v>13.222222222222221</v>
      </c>
      <c r="F1531" s="124">
        <v>19.174603174603174</v>
      </c>
      <c r="G1531" s="124">
        <v>70.833333333333329</v>
      </c>
      <c r="H1531" s="124">
        <v>70.833333333333329</v>
      </c>
      <c r="I1531" s="124">
        <v>57.611111111111107</v>
      </c>
      <c r="J1531" s="124">
        <v>90.007936507936506</v>
      </c>
      <c r="K1531" s="445">
        <f t="shared" si="57"/>
        <v>-29.166666666666671</v>
      </c>
      <c r="L1531" s="445">
        <f t="shared" si="58"/>
        <v>-42.388888888888893</v>
      </c>
      <c r="M1531" s="445">
        <f t="shared" si="59"/>
        <v>-9.9920634920634939</v>
      </c>
    </row>
    <row r="1532" spans="1:13" ht="15" thickBot="1" x14ac:dyDescent="0.35">
      <c r="A1532" s="124" t="s">
        <v>1080</v>
      </c>
      <c r="B1532" s="629" t="s">
        <v>135</v>
      </c>
      <c r="C1532" s="629" t="s">
        <v>1057</v>
      </c>
      <c r="D1532" s="577" t="s">
        <v>1055</v>
      </c>
      <c r="E1532" s="629">
        <v>17.974937343358395</v>
      </c>
      <c r="F1532" s="577">
        <v>10.903508771929824</v>
      </c>
      <c r="G1532" s="577">
        <v>85.5</v>
      </c>
      <c r="H1532" s="577">
        <v>85.5</v>
      </c>
      <c r="I1532" s="577">
        <v>67.525062656641609</v>
      </c>
      <c r="J1532" s="577">
        <v>96.403508771929822</v>
      </c>
      <c r="K1532" s="445">
        <f t="shared" si="57"/>
        <v>-14.5</v>
      </c>
      <c r="L1532" s="445">
        <f t="shared" si="58"/>
        <v>-32.474937343358391</v>
      </c>
      <c r="M1532" s="445">
        <f t="shared" si="59"/>
        <v>-3.5964912280701782</v>
      </c>
    </row>
    <row r="1533" spans="1:13" x14ac:dyDescent="0.3">
      <c r="A1533" s="124" t="s">
        <v>1080</v>
      </c>
      <c r="B1533" s="292" t="s">
        <v>137</v>
      </c>
      <c r="C1533" s="292" t="s">
        <v>1052</v>
      </c>
      <c r="D1533" s="293" t="s">
        <v>1053</v>
      </c>
      <c r="E1533" s="292">
        <v>17.210884353741495</v>
      </c>
      <c r="F1533" s="293">
        <v>13.117913832199545</v>
      </c>
      <c r="G1533" s="293">
        <v>65</v>
      </c>
      <c r="H1533" s="293">
        <v>65</v>
      </c>
      <c r="I1533" s="293">
        <v>47.789115646258509</v>
      </c>
      <c r="J1533" s="293">
        <v>78.117913832199548</v>
      </c>
      <c r="K1533" s="445">
        <f t="shared" si="57"/>
        <v>-35</v>
      </c>
      <c r="L1533" s="445">
        <f t="shared" si="58"/>
        <v>-52.210884353741491</v>
      </c>
      <c r="M1533" s="445">
        <f t="shared" si="59"/>
        <v>-21.882086167800452</v>
      </c>
    </row>
    <row r="1534" spans="1:13" x14ac:dyDescent="0.3">
      <c r="A1534" s="124" t="s">
        <v>1080</v>
      </c>
      <c r="B1534" s="207" t="s">
        <v>137</v>
      </c>
      <c r="C1534" s="207" t="s">
        <v>1056</v>
      </c>
      <c r="D1534" s="124" t="s">
        <v>1053</v>
      </c>
      <c r="E1534" s="207">
        <v>16.525810324129651</v>
      </c>
      <c r="F1534" s="124">
        <v>12.1312525010004</v>
      </c>
      <c r="G1534" s="124">
        <v>80</v>
      </c>
      <c r="H1534" s="124">
        <v>80</v>
      </c>
      <c r="I1534" s="124">
        <v>63.474189675870349</v>
      </c>
      <c r="J1534" s="124">
        <v>92.131252501000404</v>
      </c>
      <c r="K1534" s="445">
        <f t="shared" si="57"/>
        <v>-20</v>
      </c>
      <c r="L1534" s="445">
        <f t="shared" si="58"/>
        <v>-36.525810324129651</v>
      </c>
      <c r="M1534" s="445">
        <f t="shared" si="59"/>
        <v>-7.8687474989995962</v>
      </c>
    </row>
    <row r="1535" spans="1:13" x14ac:dyDescent="0.3">
      <c r="A1535" s="124" t="s">
        <v>1080</v>
      </c>
      <c r="B1535" s="207" t="s">
        <v>137</v>
      </c>
      <c r="C1535" s="207" t="s">
        <v>1057</v>
      </c>
      <c r="D1535" s="146" t="s">
        <v>1053</v>
      </c>
      <c r="E1535" s="207">
        <v>0</v>
      </c>
      <c r="F1535" s="146">
        <v>0</v>
      </c>
      <c r="G1535" s="146">
        <v>100</v>
      </c>
      <c r="H1535" s="146">
        <v>100</v>
      </c>
      <c r="I1535" s="146">
        <v>100</v>
      </c>
      <c r="J1535" s="146">
        <v>100</v>
      </c>
      <c r="K1535" s="445">
        <f t="shared" ref="K1535:K1559" si="60">0-(100-H1535)</f>
        <v>0</v>
      </c>
      <c r="L1535" s="445">
        <f t="shared" ref="L1535:L1559" si="61">0-(100-I1535)</f>
        <v>0</v>
      </c>
      <c r="M1535" s="445">
        <f t="shared" ref="M1535:M1559" si="62">0-(100-J1535)</f>
        <v>0</v>
      </c>
    </row>
    <row r="1536" spans="1:13" x14ac:dyDescent="0.3">
      <c r="A1536" s="124" t="s">
        <v>1080</v>
      </c>
      <c r="B1536" s="207" t="s">
        <v>137</v>
      </c>
      <c r="C1536" s="207" t="s">
        <v>1052</v>
      </c>
      <c r="D1536" s="146" t="s">
        <v>1054</v>
      </c>
      <c r="E1536" s="207">
        <v>14.312925170068027</v>
      </c>
      <c r="F1536" s="146">
        <v>18.226757369614514</v>
      </c>
      <c r="G1536" s="146">
        <v>44.142857142857146</v>
      </c>
      <c r="H1536" s="146">
        <v>44.142857142857146</v>
      </c>
      <c r="I1536" s="146">
        <v>29.829931972789119</v>
      </c>
      <c r="J1536" s="146">
        <v>62.369614512471657</v>
      </c>
      <c r="K1536" s="445">
        <f t="shared" si="60"/>
        <v>-55.857142857142854</v>
      </c>
      <c r="L1536" s="445">
        <f t="shared" si="61"/>
        <v>-70.170068027210874</v>
      </c>
      <c r="M1536" s="445">
        <f t="shared" si="62"/>
        <v>-37.630385487528343</v>
      </c>
    </row>
    <row r="1537" spans="1:13" x14ac:dyDescent="0.3">
      <c r="A1537" s="124" t="s">
        <v>1080</v>
      </c>
      <c r="B1537" s="207" t="s">
        <v>137</v>
      </c>
      <c r="C1537" s="207" t="s">
        <v>1056</v>
      </c>
      <c r="D1537" s="146" t="s">
        <v>1054</v>
      </c>
      <c r="E1537" s="207">
        <v>20.995198079231692</v>
      </c>
      <c r="F1537" s="146">
        <v>17.653061224489793</v>
      </c>
      <c r="G1537" s="146">
        <v>68.142857142857139</v>
      </c>
      <c r="H1537" s="146">
        <v>68.142857142857139</v>
      </c>
      <c r="I1537" s="146">
        <v>47.147659063625447</v>
      </c>
      <c r="J1537" s="146">
        <v>85.795918367346928</v>
      </c>
      <c r="K1537" s="445">
        <f t="shared" si="60"/>
        <v>-31.857142857142861</v>
      </c>
      <c r="L1537" s="445">
        <f t="shared" si="61"/>
        <v>-52.852340936374553</v>
      </c>
      <c r="M1537" s="445">
        <f t="shared" si="62"/>
        <v>-14.204081632653072</v>
      </c>
    </row>
    <row r="1538" spans="1:13" x14ac:dyDescent="0.3">
      <c r="A1538" s="124" t="s">
        <v>1080</v>
      </c>
      <c r="B1538" s="207" t="s">
        <v>137</v>
      </c>
      <c r="C1538" s="207" t="s">
        <v>1057</v>
      </c>
      <c r="D1538" s="146" t="s">
        <v>1054</v>
      </c>
      <c r="E1538" s="207">
        <v>11.140828261129013</v>
      </c>
      <c r="F1538" s="146">
        <v>8.4068504594820386</v>
      </c>
      <c r="G1538" s="146">
        <v>91.571428571428569</v>
      </c>
      <c r="H1538" s="146">
        <v>91.571428571428569</v>
      </c>
      <c r="I1538" s="146">
        <v>80.430600310299553</v>
      </c>
      <c r="J1538" s="146">
        <v>99.978279030910613</v>
      </c>
      <c r="K1538" s="445">
        <f t="shared" si="60"/>
        <v>-8.4285714285714306</v>
      </c>
      <c r="L1538" s="445">
        <f t="shared" si="61"/>
        <v>-19.569399689700447</v>
      </c>
      <c r="M1538" s="445">
        <f t="shared" si="62"/>
        <v>-2.1720969089386699E-2</v>
      </c>
    </row>
    <row r="1539" spans="1:13" x14ac:dyDescent="0.3">
      <c r="A1539" s="124" t="s">
        <v>1080</v>
      </c>
      <c r="B1539" s="207" t="s">
        <v>137</v>
      </c>
      <c r="C1539" s="207" t="s">
        <v>1052</v>
      </c>
      <c r="D1539" s="146" t="s">
        <v>1055</v>
      </c>
      <c r="E1539" s="207">
        <v>17.419501133786845</v>
      </c>
      <c r="F1539" s="146">
        <v>21.047619047619044</v>
      </c>
      <c r="G1539" s="146">
        <v>61.428571428571431</v>
      </c>
      <c r="H1539" s="146">
        <v>61.428571428571431</v>
      </c>
      <c r="I1539" s="146">
        <v>44.009070294784586</v>
      </c>
      <c r="J1539" s="146">
        <v>82.476190476190482</v>
      </c>
      <c r="K1539" s="445">
        <f t="shared" si="60"/>
        <v>-38.571428571428569</v>
      </c>
      <c r="L1539" s="445">
        <f t="shared" si="61"/>
        <v>-55.990929705215414</v>
      </c>
      <c r="M1539" s="445">
        <f t="shared" si="62"/>
        <v>-17.523809523809518</v>
      </c>
    </row>
    <row r="1540" spans="1:13" x14ac:dyDescent="0.3">
      <c r="A1540" s="124" t="s">
        <v>1080</v>
      </c>
      <c r="B1540" s="207" t="s">
        <v>137</v>
      </c>
      <c r="C1540" s="207" t="s">
        <v>1056</v>
      </c>
      <c r="D1540" s="146" t="s">
        <v>1055</v>
      </c>
      <c r="E1540" s="207">
        <v>12.112044817927169</v>
      </c>
      <c r="F1540" s="146">
        <v>18.792316926770706</v>
      </c>
      <c r="G1540" s="146">
        <v>80.571428571428569</v>
      </c>
      <c r="H1540" s="146">
        <v>80.571428571428569</v>
      </c>
      <c r="I1540" s="146">
        <v>68.459383753501399</v>
      </c>
      <c r="J1540" s="146">
        <v>99.363745498199279</v>
      </c>
      <c r="K1540" s="445">
        <f t="shared" si="60"/>
        <v>-19.428571428571431</v>
      </c>
      <c r="L1540" s="445">
        <f t="shared" si="61"/>
        <v>-31.540616246498601</v>
      </c>
      <c r="M1540" s="445">
        <f t="shared" si="62"/>
        <v>-0.63625450180072107</v>
      </c>
    </row>
    <row r="1541" spans="1:13" ht="15" thickBot="1" x14ac:dyDescent="0.35">
      <c r="A1541" s="124" t="s">
        <v>1080</v>
      </c>
      <c r="B1541" s="629" t="s">
        <v>137</v>
      </c>
      <c r="C1541" s="629" t="s">
        <v>1057</v>
      </c>
      <c r="D1541" s="577" t="s">
        <v>1055</v>
      </c>
      <c r="E1541" s="629">
        <v>18.862871464375221</v>
      </c>
      <c r="F1541" s="577">
        <v>6.2778374507697805</v>
      </c>
      <c r="G1541" s="577">
        <v>94</v>
      </c>
      <c r="H1541" s="577">
        <v>94</v>
      </c>
      <c r="I1541" s="577">
        <v>75.137128535624782</v>
      </c>
      <c r="J1541" s="577">
        <v>100.27783745076978</v>
      </c>
      <c r="K1541" s="445">
        <f t="shared" si="60"/>
        <v>-6</v>
      </c>
      <c r="L1541" s="445">
        <f t="shared" si="61"/>
        <v>-24.862871464375218</v>
      </c>
      <c r="M1541" s="445">
        <f t="shared" si="62"/>
        <v>0.2778374507697805</v>
      </c>
    </row>
    <row r="1542" spans="1:13" x14ac:dyDescent="0.3">
      <c r="A1542" s="124" t="s">
        <v>1080</v>
      </c>
      <c r="B1542" s="292" t="s">
        <v>140</v>
      </c>
      <c r="C1542" s="292" t="s">
        <v>1052</v>
      </c>
      <c r="D1542" s="293" t="s">
        <v>1053</v>
      </c>
      <c r="E1542" s="292">
        <v>19.632653061224488</v>
      </c>
      <c r="F1542" s="293">
        <v>9.3945578231292508</v>
      </c>
      <c r="G1542" s="293">
        <v>77.571428571428569</v>
      </c>
      <c r="H1542" s="293">
        <v>77.571428571428569</v>
      </c>
      <c r="I1542" s="293">
        <v>57.938775510204081</v>
      </c>
      <c r="J1542" s="293">
        <v>86.965986394557817</v>
      </c>
      <c r="K1542" s="445">
        <f t="shared" si="60"/>
        <v>-22.428571428571431</v>
      </c>
      <c r="L1542" s="445">
        <f t="shared" si="61"/>
        <v>-42.061224489795919</v>
      </c>
      <c r="M1542" s="445">
        <f t="shared" si="62"/>
        <v>-13.034013605442183</v>
      </c>
    </row>
    <row r="1543" spans="1:13" x14ac:dyDescent="0.3">
      <c r="A1543" s="124" t="s">
        <v>1080</v>
      </c>
      <c r="B1543" s="207" t="s">
        <v>140</v>
      </c>
      <c r="C1543" s="207" t="s">
        <v>1056</v>
      </c>
      <c r="D1543" s="124" t="s">
        <v>1053</v>
      </c>
      <c r="E1543" s="207">
        <v>17.838735494197678</v>
      </c>
      <c r="F1543" s="124">
        <v>6.5950380152060815</v>
      </c>
      <c r="G1543" s="124">
        <v>86.714285714285708</v>
      </c>
      <c r="H1543" s="124">
        <v>86.714285714285708</v>
      </c>
      <c r="I1543" s="124">
        <v>68.87555022008803</v>
      </c>
      <c r="J1543" s="124">
        <v>93.309323729491794</v>
      </c>
      <c r="K1543" s="445">
        <f t="shared" si="60"/>
        <v>-13.285714285714292</v>
      </c>
      <c r="L1543" s="445">
        <f t="shared" si="61"/>
        <v>-31.12444977991197</v>
      </c>
      <c r="M1543" s="445">
        <f t="shared" si="62"/>
        <v>-6.6906762705082059</v>
      </c>
    </row>
    <row r="1544" spans="1:13" x14ac:dyDescent="0.3">
      <c r="A1544" s="124" t="s">
        <v>1080</v>
      </c>
      <c r="B1544" s="207" t="s">
        <v>140</v>
      </c>
      <c r="C1544" s="207" t="s">
        <v>1057</v>
      </c>
      <c r="D1544" s="146" t="s">
        <v>1053</v>
      </c>
      <c r="E1544" s="207">
        <v>0</v>
      </c>
      <c r="F1544" s="124">
        <v>0</v>
      </c>
      <c r="G1544" s="124">
        <v>100</v>
      </c>
      <c r="H1544" s="124">
        <v>100</v>
      </c>
      <c r="I1544" s="124">
        <v>100</v>
      </c>
      <c r="J1544" s="124">
        <v>100</v>
      </c>
      <c r="K1544" s="445">
        <f t="shared" si="60"/>
        <v>0</v>
      </c>
      <c r="L1544" s="445">
        <f t="shared" si="61"/>
        <v>0</v>
      </c>
      <c r="M1544" s="445">
        <f t="shared" si="62"/>
        <v>0</v>
      </c>
    </row>
    <row r="1545" spans="1:13" x14ac:dyDescent="0.3">
      <c r="A1545" s="124" t="s">
        <v>1080</v>
      </c>
      <c r="B1545" s="207" t="s">
        <v>140</v>
      </c>
      <c r="C1545" s="207" t="s">
        <v>1052</v>
      </c>
      <c r="D1545" s="146" t="s">
        <v>1054</v>
      </c>
      <c r="E1545" s="207">
        <v>14.632653061224488</v>
      </c>
      <c r="F1545" s="146">
        <v>19.394557823129251</v>
      </c>
      <c r="G1545" s="146">
        <v>64.714285714285708</v>
      </c>
      <c r="H1545" s="146">
        <v>64.714285714285708</v>
      </c>
      <c r="I1545" s="146">
        <v>50.08163265306122</v>
      </c>
      <c r="J1545" s="146">
        <v>84.108843537414955</v>
      </c>
      <c r="K1545" s="445">
        <f t="shared" si="60"/>
        <v>-35.285714285714292</v>
      </c>
      <c r="L1545" s="445">
        <f t="shared" si="61"/>
        <v>-49.91836734693878</v>
      </c>
      <c r="M1545" s="445">
        <f t="shared" si="62"/>
        <v>-15.891156462585045</v>
      </c>
    </row>
    <row r="1546" spans="1:13" x14ac:dyDescent="0.3">
      <c r="A1546" s="124" t="s">
        <v>1080</v>
      </c>
      <c r="B1546" s="207" t="s">
        <v>140</v>
      </c>
      <c r="C1546" s="207" t="s">
        <v>1056</v>
      </c>
      <c r="D1546" s="124" t="s">
        <v>1054</v>
      </c>
      <c r="E1546" s="207">
        <v>14.743497398959585</v>
      </c>
      <c r="F1546" s="124">
        <v>13.975990396158462</v>
      </c>
      <c r="G1546" s="124">
        <v>76.714285714285708</v>
      </c>
      <c r="H1546" s="124">
        <v>76.714285714285708</v>
      </c>
      <c r="I1546" s="124">
        <v>61.970788315326125</v>
      </c>
      <c r="J1546" s="124">
        <v>90.690276110444174</v>
      </c>
      <c r="K1546" s="445">
        <f t="shared" si="60"/>
        <v>-23.285714285714292</v>
      </c>
      <c r="L1546" s="445">
        <f t="shared" si="61"/>
        <v>-38.029211684673875</v>
      </c>
      <c r="M1546" s="445">
        <f t="shared" si="62"/>
        <v>-9.3097238895558263</v>
      </c>
    </row>
    <row r="1547" spans="1:13" x14ac:dyDescent="0.3">
      <c r="A1547" s="124" t="s">
        <v>1080</v>
      </c>
      <c r="B1547" s="207" t="s">
        <v>140</v>
      </c>
      <c r="C1547" s="207" t="s">
        <v>1057</v>
      </c>
      <c r="D1547" s="124" t="s">
        <v>1054</v>
      </c>
      <c r="E1547" s="207">
        <v>11.742093328559495</v>
      </c>
      <c r="F1547" s="124">
        <v>3.9591836734693877</v>
      </c>
      <c r="G1547" s="124">
        <v>96.571428571428569</v>
      </c>
      <c r="H1547" s="124">
        <v>96.571428571428569</v>
      </c>
      <c r="I1547" s="124">
        <v>84.829335242869078</v>
      </c>
      <c r="J1547" s="124">
        <v>100.53061224489795</v>
      </c>
      <c r="K1547" s="445">
        <f t="shared" si="60"/>
        <v>-3.4285714285714306</v>
      </c>
      <c r="L1547" s="445">
        <f t="shared" si="61"/>
        <v>-15.170664757130922</v>
      </c>
      <c r="M1547" s="445">
        <f t="shared" si="62"/>
        <v>0.53061224489795222</v>
      </c>
    </row>
    <row r="1548" spans="1:13" x14ac:dyDescent="0.3">
      <c r="A1548" s="124" t="s">
        <v>1080</v>
      </c>
      <c r="B1548" s="207" t="s">
        <v>140</v>
      </c>
      <c r="C1548" s="207" t="s">
        <v>1052</v>
      </c>
      <c r="D1548" s="124" t="s">
        <v>1055</v>
      </c>
      <c r="E1548" s="207">
        <v>15.349206349206346</v>
      </c>
      <c r="F1548" s="124">
        <v>7.8253968253968251</v>
      </c>
      <c r="G1548" s="124">
        <v>79.714285714285708</v>
      </c>
      <c r="H1548" s="124">
        <v>79.714285714285708</v>
      </c>
      <c r="I1548" s="124">
        <v>64.365079365079367</v>
      </c>
      <c r="J1548" s="124">
        <v>87.539682539682531</v>
      </c>
      <c r="K1548" s="445">
        <f t="shared" si="60"/>
        <v>-20.285714285714292</v>
      </c>
      <c r="L1548" s="445">
        <f t="shared" si="61"/>
        <v>-35.634920634920633</v>
      </c>
      <c r="M1548" s="445">
        <f t="shared" si="62"/>
        <v>-12.460317460317469</v>
      </c>
    </row>
    <row r="1549" spans="1:13" x14ac:dyDescent="0.3">
      <c r="A1549" s="124" t="s">
        <v>1080</v>
      </c>
      <c r="B1549" s="207" t="s">
        <v>140</v>
      </c>
      <c r="C1549" s="207" t="s">
        <v>1056</v>
      </c>
      <c r="D1549" s="146" t="s">
        <v>1055</v>
      </c>
      <c r="E1549" s="207">
        <v>14.831932773109244</v>
      </c>
      <c r="F1549" s="146">
        <v>9.3557422969187662</v>
      </c>
      <c r="G1549" s="146">
        <v>87.142857142857139</v>
      </c>
      <c r="H1549" s="146">
        <v>87.142857142857139</v>
      </c>
      <c r="I1549" s="146">
        <v>72.310924369747895</v>
      </c>
      <c r="J1549" s="146">
        <v>96.498599439775901</v>
      </c>
      <c r="K1549" s="445">
        <f t="shared" si="60"/>
        <v>-12.857142857142861</v>
      </c>
      <c r="L1549" s="445">
        <f t="shared" si="61"/>
        <v>-27.689075630252105</v>
      </c>
      <c r="M1549" s="445">
        <f t="shared" si="62"/>
        <v>-3.5014005602240985</v>
      </c>
    </row>
    <row r="1550" spans="1:13" ht="15" thickBot="1" x14ac:dyDescent="0.35">
      <c r="A1550" s="124" t="s">
        <v>1080</v>
      </c>
      <c r="B1550" s="629" t="s">
        <v>140</v>
      </c>
      <c r="C1550" s="629" t="s">
        <v>1057</v>
      </c>
      <c r="D1550" s="577" t="s">
        <v>1055</v>
      </c>
      <c r="E1550" s="629">
        <v>15.533834586466165</v>
      </c>
      <c r="F1550" s="577">
        <v>3.6850459482038431</v>
      </c>
      <c r="G1550" s="577">
        <v>96.428571428571431</v>
      </c>
      <c r="H1550" s="577">
        <v>96.428571428571431</v>
      </c>
      <c r="I1550" s="577">
        <v>80.89473684210526</v>
      </c>
      <c r="J1550" s="577">
        <v>100.11361737677527</v>
      </c>
      <c r="K1550" s="445">
        <f t="shared" si="60"/>
        <v>-3.5714285714285694</v>
      </c>
      <c r="L1550" s="445">
        <f t="shared" si="61"/>
        <v>-19.10526315789474</v>
      </c>
      <c r="M1550" s="445">
        <f t="shared" si="62"/>
        <v>0.11361737677526662</v>
      </c>
    </row>
    <row r="1551" spans="1:13" x14ac:dyDescent="0.3">
      <c r="A1551" s="124" t="s">
        <v>1080</v>
      </c>
      <c r="B1551" s="292" t="s">
        <v>142</v>
      </c>
      <c r="C1551" s="292" t="s">
        <v>1052</v>
      </c>
      <c r="D1551" s="293" t="s">
        <v>1053</v>
      </c>
      <c r="E1551" s="292">
        <v>15.095238095238093</v>
      </c>
      <c r="F1551" s="293">
        <v>12.206349206349206</v>
      </c>
      <c r="G1551" s="293">
        <v>74.857142857142861</v>
      </c>
      <c r="H1551" s="293">
        <v>74.857142857142861</v>
      </c>
      <c r="I1551" s="293">
        <v>59.761904761904766</v>
      </c>
      <c r="J1551" s="293">
        <v>87.063492063492063</v>
      </c>
      <c r="K1551" s="445">
        <f t="shared" si="60"/>
        <v>-25.142857142857139</v>
      </c>
      <c r="L1551" s="445">
        <f t="shared" si="61"/>
        <v>-40.238095238095234</v>
      </c>
      <c r="M1551" s="445">
        <f t="shared" si="62"/>
        <v>-12.936507936507937</v>
      </c>
    </row>
    <row r="1552" spans="1:13" x14ac:dyDescent="0.3">
      <c r="A1552" s="124" t="s">
        <v>1080</v>
      </c>
      <c r="B1552" s="207" t="s">
        <v>142</v>
      </c>
      <c r="C1552" s="207" t="s">
        <v>1056</v>
      </c>
      <c r="D1552" s="124" t="s">
        <v>1053</v>
      </c>
      <c r="E1552" s="207">
        <v>17.308123249299719</v>
      </c>
      <c r="F1552" s="124">
        <v>10.927170868347337</v>
      </c>
      <c r="G1552" s="124">
        <v>83.428571428571431</v>
      </c>
      <c r="H1552" s="124">
        <v>83.428571428571431</v>
      </c>
      <c r="I1552" s="124">
        <v>66.120448179271705</v>
      </c>
      <c r="J1552" s="124">
        <v>94.355742296918763</v>
      </c>
      <c r="K1552" s="445">
        <f t="shared" si="60"/>
        <v>-16.571428571428569</v>
      </c>
      <c r="L1552" s="445">
        <f t="shared" si="61"/>
        <v>-33.879551820728295</v>
      </c>
      <c r="M1552" s="445">
        <f t="shared" si="62"/>
        <v>-5.6442577030812373</v>
      </c>
    </row>
    <row r="1553" spans="1:13" x14ac:dyDescent="0.3">
      <c r="A1553" s="124" t="s">
        <v>1080</v>
      </c>
      <c r="B1553" s="207" t="s">
        <v>142</v>
      </c>
      <c r="C1553" s="207" t="s">
        <v>1057</v>
      </c>
      <c r="D1553" s="146" t="s">
        <v>1053</v>
      </c>
      <c r="E1553" s="207">
        <v>0</v>
      </c>
      <c r="F1553" s="124">
        <v>0</v>
      </c>
      <c r="G1553" s="124">
        <v>100</v>
      </c>
      <c r="H1553" s="124">
        <v>100</v>
      </c>
      <c r="I1553" s="124">
        <v>100</v>
      </c>
      <c r="J1553" s="124">
        <v>100</v>
      </c>
      <c r="K1553" s="445">
        <f t="shared" si="60"/>
        <v>0</v>
      </c>
      <c r="L1553" s="445">
        <f t="shared" si="61"/>
        <v>0</v>
      </c>
      <c r="M1553" s="445">
        <f t="shared" si="62"/>
        <v>0</v>
      </c>
    </row>
    <row r="1554" spans="1:13" x14ac:dyDescent="0.3">
      <c r="A1554" s="124" t="s">
        <v>1080</v>
      </c>
      <c r="B1554" s="207" t="s">
        <v>142</v>
      </c>
      <c r="C1554" s="207" t="s">
        <v>1052</v>
      </c>
      <c r="D1554" s="146" t="s">
        <v>1054</v>
      </c>
      <c r="E1554" s="207">
        <v>11.394557823129251</v>
      </c>
      <c r="F1554" s="146">
        <v>20.260770975056687</v>
      </c>
      <c r="G1554" s="146">
        <v>62.857142857142854</v>
      </c>
      <c r="H1554" s="146">
        <v>62.857142857142854</v>
      </c>
      <c r="I1554" s="146">
        <v>51.4625850340136</v>
      </c>
      <c r="J1554" s="146">
        <v>83.117913832199548</v>
      </c>
      <c r="K1554" s="445">
        <f t="shared" si="60"/>
        <v>-37.142857142857146</v>
      </c>
      <c r="L1554" s="445">
        <f t="shared" si="61"/>
        <v>-48.5374149659864</v>
      </c>
      <c r="M1554" s="445">
        <f t="shared" si="62"/>
        <v>-16.882086167800452</v>
      </c>
    </row>
    <row r="1555" spans="1:13" x14ac:dyDescent="0.3">
      <c r="A1555" s="124" t="s">
        <v>1080</v>
      </c>
      <c r="B1555" s="207" t="s">
        <v>142</v>
      </c>
      <c r="C1555" s="207" t="s">
        <v>1056</v>
      </c>
      <c r="D1555" s="124" t="s">
        <v>1054</v>
      </c>
      <c r="E1555" s="207">
        <v>14.559823929571829</v>
      </c>
      <c r="F1555" s="124">
        <v>14.387755102040815</v>
      </c>
      <c r="G1555" s="124">
        <v>75.714285714285708</v>
      </c>
      <c r="H1555" s="124">
        <v>75.714285714285708</v>
      </c>
      <c r="I1555" s="124">
        <v>61.154461784713881</v>
      </c>
      <c r="J1555" s="124">
        <v>90.102040816326522</v>
      </c>
      <c r="K1555" s="445">
        <f t="shared" si="60"/>
        <v>-24.285714285714292</v>
      </c>
      <c r="L1555" s="445">
        <f t="shared" si="61"/>
        <v>-38.845538215286119</v>
      </c>
      <c r="M1555" s="445">
        <f t="shared" si="62"/>
        <v>-9.8979591836734784</v>
      </c>
    </row>
    <row r="1556" spans="1:13" x14ac:dyDescent="0.3">
      <c r="A1556" s="124" t="s">
        <v>1080</v>
      </c>
      <c r="B1556" s="207" t="s">
        <v>142</v>
      </c>
      <c r="C1556" s="207" t="s">
        <v>1057</v>
      </c>
      <c r="D1556" s="124" t="s">
        <v>1054</v>
      </c>
      <c r="E1556" s="207">
        <v>11.45637904284521</v>
      </c>
      <c r="F1556" s="124">
        <v>7.3310657596371884</v>
      </c>
      <c r="G1556" s="124">
        <v>95.571428571428569</v>
      </c>
      <c r="H1556" s="124">
        <v>95.571428571428569</v>
      </c>
      <c r="I1556" s="124">
        <v>84.115049528583356</v>
      </c>
      <c r="J1556" s="124">
        <v>102.90249433106575</v>
      </c>
      <c r="K1556" s="445">
        <f t="shared" si="60"/>
        <v>-4.4285714285714306</v>
      </c>
      <c r="L1556" s="445">
        <f t="shared" si="61"/>
        <v>-15.884950471416644</v>
      </c>
      <c r="M1556" s="445">
        <f t="shared" si="62"/>
        <v>2.9024943310657534</v>
      </c>
    </row>
    <row r="1557" spans="1:13" x14ac:dyDescent="0.3">
      <c r="A1557" s="124" t="s">
        <v>1080</v>
      </c>
      <c r="B1557" s="207" t="s">
        <v>142</v>
      </c>
      <c r="C1557" s="207" t="s">
        <v>1052</v>
      </c>
      <c r="D1557" s="124" t="s">
        <v>1055</v>
      </c>
      <c r="E1557" s="207">
        <v>13.671201814058957</v>
      </c>
      <c r="F1557" s="124">
        <v>9.9115646258503407</v>
      </c>
      <c r="G1557" s="124">
        <v>80.714285714285708</v>
      </c>
      <c r="H1557" s="124">
        <v>80.714285714285708</v>
      </c>
      <c r="I1557" s="124">
        <v>67.043083900226748</v>
      </c>
      <c r="J1557" s="124">
        <v>90.625850340136054</v>
      </c>
      <c r="K1557" s="445">
        <f t="shared" si="60"/>
        <v>-19.285714285714292</v>
      </c>
      <c r="L1557" s="445">
        <f t="shared" si="61"/>
        <v>-32.956916099773252</v>
      </c>
      <c r="M1557" s="445">
        <f t="shared" si="62"/>
        <v>-9.3741496598639458</v>
      </c>
    </row>
    <row r="1558" spans="1:13" x14ac:dyDescent="0.3">
      <c r="A1558" s="124" t="s">
        <v>1080</v>
      </c>
      <c r="B1558" s="207" t="s">
        <v>142</v>
      </c>
      <c r="C1558" s="207" t="s">
        <v>1056</v>
      </c>
      <c r="D1558" s="146" t="s">
        <v>1055</v>
      </c>
      <c r="E1558" s="207">
        <v>13.513405362144855</v>
      </c>
      <c r="F1558" s="146">
        <v>8.5474189675870349</v>
      </c>
      <c r="G1558" s="146">
        <v>89.285714285714292</v>
      </c>
      <c r="H1558" s="146">
        <v>89.285714285714292</v>
      </c>
      <c r="I1558" s="146">
        <v>75.77230892356944</v>
      </c>
      <c r="J1558" s="146">
        <v>97.833133253301327</v>
      </c>
      <c r="K1558" s="445">
        <f t="shared" si="60"/>
        <v>-10.714285714285708</v>
      </c>
      <c r="L1558" s="445">
        <f t="shared" si="61"/>
        <v>-24.22769107643056</v>
      </c>
      <c r="M1558" s="445">
        <f t="shared" si="62"/>
        <v>-2.1668667466986733</v>
      </c>
    </row>
    <row r="1559" spans="1:13" ht="15" thickBot="1" x14ac:dyDescent="0.35">
      <c r="A1559" s="124" t="s">
        <v>1080</v>
      </c>
      <c r="B1559" s="629" t="s">
        <v>142</v>
      </c>
      <c r="C1559" s="629" t="s">
        <v>1057</v>
      </c>
      <c r="D1559" s="577" t="s">
        <v>1055</v>
      </c>
      <c r="E1559" s="629">
        <v>19.649480844969563</v>
      </c>
      <c r="F1559" s="577">
        <v>5.1589688506981739</v>
      </c>
      <c r="G1559" s="577">
        <v>97.857142857142861</v>
      </c>
      <c r="H1559" s="577">
        <v>97.857142857142861</v>
      </c>
      <c r="I1559" s="577">
        <v>78.207662012173301</v>
      </c>
      <c r="J1559" s="577">
        <v>103.01611170784103</v>
      </c>
      <c r="K1559" s="445">
        <f t="shared" si="60"/>
        <v>-2.1428571428571388</v>
      </c>
      <c r="L1559" s="445">
        <f t="shared" si="61"/>
        <v>-21.792337987826699</v>
      </c>
      <c r="M1559" s="445">
        <f t="shared" si="62"/>
        <v>3.0161117078410342</v>
      </c>
    </row>
  </sheetData>
  <sortState xmlns:xlrd2="http://schemas.microsoft.com/office/spreadsheetml/2017/richdata2" ref="A3:M1559">
    <sortCondition ref="A3:A1559"/>
    <sortCondition ref="B3:B1559"/>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CA084-F718-45CC-8FB0-4C48497E4931}">
  <dimension ref="A1:BD328"/>
  <sheetViews>
    <sheetView zoomScale="60" zoomScaleNormal="60" workbookViewId="0">
      <pane xSplit="4" ySplit="2" topLeftCell="E240" activePane="bottomRight" state="frozen"/>
      <selection pane="topRight" activeCell="E1" sqref="E1"/>
      <selection pane="bottomLeft" activeCell="A3" sqref="A3"/>
      <selection pane="bottomRight" activeCell="P281" sqref="P281"/>
    </sheetView>
  </sheetViews>
  <sheetFormatPr defaultColWidth="8.88671875" defaultRowHeight="14.4" x14ac:dyDescent="0.3"/>
  <cols>
    <col min="1" max="1" width="25.44140625" style="41" customWidth="1"/>
    <col min="2" max="2" width="19.109375" style="41" bestFit="1" customWidth="1"/>
    <col min="3" max="3" width="44.33203125" style="146" bestFit="1" customWidth="1"/>
    <col min="4" max="4" width="45.5546875" style="146" bestFit="1" customWidth="1"/>
    <col min="5" max="5" width="11.109375" style="309" customWidth="1"/>
    <col min="6" max="6" width="11.109375" style="310" customWidth="1"/>
    <col min="7" max="7" width="11.109375" style="309" customWidth="1"/>
    <col min="8" max="10" width="7.109375" style="54" customWidth="1"/>
    <col min="11" max="13" width="7.109375" style="350" customWidth="1"/>
    <col min="14" max="16" width="7.109375" style="290" customWidth="1"/>
    <col min="17" max="19" width="7.109375" style="60" customWidth="1"/>
    <col min="20" max="22" width="7.109375" style="59" customWidth="1"/>
    <col min="23" max="25" width="7.109375" style="379" customWidth="1"/>
    <col min="26" max="26" width="10.6640625" style="644" customWidth="1"/>
    <col min="27" max="28" width="8.88671875" style="644"/>
    <col min="29" max="29" width="9.88671875" style="389" bestFit="1" customWidth="1"/>
    <col min="30" max="30" width="8.88671875" style="41"/>
    <col min="31" max="33" width="8.88671875" style="323"/>
    <col min="34" max="34" width="11.88671875" style="635" bestFit="1" customWidth="1"/>
    <col min="35" max="56" width="8.88671875" style="146"/>
    <col min="57" max="16384" width="8.88671875" style="41"/>
  </cols>
  <sheetData>
    <row r="1" spans="1:56" ht="55.95" customHeight="1" x14ac:dyDescent="0.3">
      <c r="H1" s="723" t="s">
        <v>709</v>
      </c>
      <c r="I1" s="723"/>
      <c r="J1" s="723"/>
      <c r="K1" s="723"/>
      <c r="L1" s="723"/>
      <c r="M1" s="723"/>
      <c r="N1" s="723"/>
      <c r="O1" s="723"/>
      <c r="P1" s="723"/>
      <c r="Q1" s="723"/>
      <c r="R1" s="723"/>
      <c r="S1" s="723"/>
      <c r="T1" s="723"/>
      <c r="U1" s="723"/>
      <c r="V1" s="723"/>
      <c r="W1" s="723"/>
      <c r="X1" s="723"/>
      <c r="Y1" s="723"/>
      <c r="Z1" s="724" t="s">
        <v>1275</v>
      </c>
      <c r="AA1" s="724"/>
      <c r="AB1" s="724"/>
      <c r="AC1" s="724"/>
      <c r="AE1" s="725" t="s">
        <v>1289</v>
      </c>
      <c r="AF1" s="725"/>
      <c r="AG1" s="725"/>
      <c r="AH1" s="636" t="s">
        <v>1286</v>
      </c>
    </row>
    <row r="2" spans="1:56" s="112" customFormat="1" ht="69" customHeight="1" x14ac:dyDescent="0.3">
      <c r="A2" s="112" t="s">
        <v>0</v>
      </c>
      <c r="B2" s="112" t="s">
        <v>1</v>
      </c>
      <c r="C2" s="311" t="s">
        <v>2</v>
      </c>
      <c r="D2" s="311" t="s">
        <v>3</v>
      </c>
      <c r="E2" s="312" t="s">
        <v>359</v>
      </c>
      <c r="F2" s="313" t="s">
        <v>905</v>
      </c>
      <c r="G2" s="312" t="s">
        <v>906</v>
      </c>
      <c r="H2" s="314" t="s">
        <v>712</v>
      </c>
      <c r="I2" s="314" t="s">
        <v>5</v>
      </c>
      <c r="J2" s="314" t="s">
        <v>6</v>
      </c>
      <c r="K2" s="315" t="s">
        <v>711</v>
      </c>
      <c r="L2" s="315" t="s">
        <v>5</v>
      </c>
      <c r="M2" s="315" t="s">
        <v>6</v>
      </c>
      <c r="N2" s="316" t="s">
        <v>710</v>
      </c>
      <c r="O2" s="316" t="s">
        <v>5</v>
      </c>
      <c r="P2" s="316" t="s">
        <v>6</v>
      </c>
      <c r="Q2" s="317" t="s">
        <v>9</v>
      </c>
      <c r="R2" s="317" t="s">
        <v>5</v>
      </c>
      <c r="S2" s="317" t="s">
        <v>6</v>
      </c>
      <c r="T2" s="318" t="s">
        <v>731</v>
      </c>
      <c r="U2" s="318" t="s">
        <v>5</v>
      </c>
      <c r="V2" s="318" t="s">
        <v>11</v>
      </c>
      <c r="W2" s="377" t="s">
        <v>732</v>
      </c>
      <c r="X2" s="377" t="s">
        <v>5</v>
      </c>
      <c r="Y2" s="377" t="s">
        <v>6</v>
      </c>
      <c r="Z2" s="638" t="s">
        <v>71</v>
      </c>
      <c r="AA2" s="638" t="s">
        <v>368</v>
      </c>
      <c r="AB2" s="638" t="s">
        <v>367</v>
      </c>
      <c r="AC2" s="387" t="s">
        <v>74</v>
      </c>
      <c r="AE2" s="341" t="s">
        <v>1115</v>
      </c>
      <c r="AF2" s="341" t="s">
        <v>1116</v>
      </c>
      <c r="AG2" s="341" t="s">
        <v>1117</v>
      </c>
      <c r="AH2" s="634" t="s">
        <v>1284</v>
      </c>
      <c r="AI2" s="311"/>
      <c r="AJ2" s="311"/>
      <c r="AK2" s="311"/>
      <c r="AL2" s="311"/>
      <c r="AM2" s="311"/>
      <c r="AN2" s="311"/>
      <c r="AO2" s="311"/>
      <c r="AP2" s="311"/>
      <c r="AQ2" s="311"/>
      <c r="AR2" s="311"/>
      <c r="AS2" s="311"/>
      <c r="AT2" s="311"/>
      <c r="AU2" s="311"/>
      <c r="AV2" s="311"/>
      <c r="AW2" s="311"/>
      <c r="AX2" s="311"/>
      <c r="AY2" s="311"/>
      <c r="AZ2" s="311"/>
      <c r="BA2" s="311"/>
      <c r="BB2" s="311"/>
      <c r="BC2" s="311"/>
      <c r="BD2" s="311"/>
    </row>
    <row r="3" spans="1:56" ht="18" customHeight="1" x14ac:dyDescent="0.3">
      <c r="A3" s="41" t="s">
        <v>369</v>
      </c>
      <c r="B3" s="41" t="s">
        <v>373</v>
      </c>
      <c r="C3" s="146" t="s">
        <v>374</v>
      </c>
      <c r="D3" s="146" t="s">
        <v>375</v>
      </c>
      <c r="E3" s="309" t="s">
        <v>227</v>
      </c>
      <c r="F3" s="310" t="s">
        <v>227</v>
      </c>
      <c r="G3" s="310" t="s">
        <v>227</v>
      </c>
      <c r="H3" s="140">
        <v>-5.2644302715246454</v>
      </c>
      <c r="I3" s="140">
        <v>-8.334450186845487</v>
      </c>
      <c r="J3" s="140">
        <v>-1.5514386151963038</v>
      </c>
      <c r="K3" s="141">
        <v>-13.569603402971197</v>
      </c>
      <c r="L3" s="141">
        <v>-33.452644848360208</v>
      </c>
      <c r="M3" s="141">
        <v>0.62097570310356787</v>
      </c>
      <c r="N3" s="142">
        <v>-24.238092094470247</v>
      </c>
      <c r="O3" s="142">
        <v>-60.899489527525233</v>
      </c>
      <c r="P3" s="142">
        <v>2.5338796746239183</v>
      </c>
      <c r="Q3" s="143">
        <v>0</v>
      </c>
      <c r="R3" s="143">
        <v>0</v>
      </c>
      <c r="S3" s="143">
        <v>0</v>
      </c>
      <c r="T3" s="144">
        <v>-2.2000000000000028</v>
      </c>
      <c r="U3" s="144">
        <v>-23.363742690058473</v>
      </c>
      <c r="V3" s="144">
        <v>10.008383704358934</v>
      </c>
      <c r="W3" s="378">
        <v>-19.599999999999994</v>
      </c>
      <c r="X3" s="378">
        <v>-58.406593406593402</v>
      </c>
      <c r="Y3" s="378">
        <v>7.0393162393162498</v>
      </c>
      <c r="Z3" s="639">
        <v>78.888468500994918</v>
      </c>
      <c r="AA3" s="639">
        <v>12.192837572851891</v>
      </c>
      <c r="AB3" s="639">
        <v>8.9186939261531961</v>
      </c>
      <c r="AC3" s="61">
        <v>21.111531499005089</v>
      </c>
      <c r="AE3" s="323">
        <v>6.7830115716491832</v>
      </c>
      <c r="AF3" s="323">
        <v>34.073620551463776</v>
      </c>
      <c r="AG3" s="323">
        <v>63.433369202149152</v>
      </c>
      <c r="AH3" s="635">
        <v>85096.7664737866</v>
      </c>
    </row>
    <row r="4" spans="1:56" ht="18" customHeight="1" x14ac:dyDescent="0.3">
      <c r="A4" s="86" t="s">
        <v>369</v>
      </c>
      <c r="B4" s="86" t="s">
        <v>392</v>
      </c>
      <c r="C4" s="147" t="s">
        <v>396</v>
      </c>
      <c r="D4" s="147" t="s">
        <v>397</v>
      </c>
      <c r="E4" s="309" t="s">
        <v>201</v>
      </c>
      <c r="F4" s="319" t="s">
        <v>201</v>
      </c>
      <c r="G4" s="319" t="s">
        <v>201</v>
      </c>
      <c r="H4" s="140">
        <v>-27.753660349038583</v>
      </c>
      <c r="I4" s="140">
        <v>-36.62291977342332</v>
      </c>
      <c r="J4" s="140">
        <v>-16.42636699404882</v>
      </c>
      <c r="K4" s="141">
        <v>-33.980162342891248</v>
      </c>
      <c r="L4" s="141">
        <v>-53.868200436394226</v>
      </c>
      <c r="M4" s="141">
        <v>-13.992776252093122</v>
      </c>
      <c r="N4" s="142">
        <v>-35.875949661454911</v>
      </c>
      <c r="O4" s="142">
        <v>-63.37743827905625</v>
      </c>
      <c r="P4" s="142">
        <v>-9.8692229578959996</v>
      </c>
      <c r="Q4" s="143">
        <v>0</v>
      </c>
      <c r="R4" s="143">
        <v>0</v>
      </c>
      <c r="S4" s="143">
        <v>0</v>
      </c>
      <c r="T4" s="144">
        <v>-4.4000000000000057</v>
      </c>
      <c r="U4" s="144">
        <v>-24.49111111111111</v>
      </c>
      <c r="V4" s="144">
        <v>5.2088888888888789</v>
      </c>
      <c r="W4" s="378">
        <v>-18.599999999999994</v>
      </c>
      <c r="X4" s="378">
        <v>-50.290476190476184</v>
      </c>
      <c r="Y4" s="378">
        <v>0.25555555555555998</v>
      </c>
      <c r="Z4" s="639">
        <v>38.494296155143125</v>
      </c>
      <c r="AA4" s="639">
        <v>42.836582351819871</v>
      </c>
      <c r="AB4" s="639">
        <v>18.669121493037004</v>
      </c>
      <c r="AC4" s="61">
        <v>61.505703844856875</v>
      </c>
      <c r="AE4" s="323">
        <v>20.1965527793745</v>
      </c>
      <c r="AF4" s="323">
        <v>39.875424184301103</v>
      </c>
      <c r="AG4" s="323">
        <v>53.50821532116025</v>
      </c>
      <c r="AH4" s="635">
        <v>3760.07035262109</v>
      </c>
    </row>
    <row r="5" spans="1:56" ht="18" customHeight="1" x14ac:dyDescent="0.3">
      <c r="A5" s="297" t="s">
        <v>369</v>
      </c>
      <c r="B5" s="297" t="s">
        <v>392</v>
      </c>
      <c r="C5" s="297" t="s">
        <v>393</v>
      </c>
      <c r="D5" s="297" t="s">
        <v>394</v>
      </c>
      <c r="E5" s="309" t="s">
        <v>201</v>
      </c>
      <c r="F5" s="319"/>
      <c r="G5" s="319" t="s">
        <v>201</v>
      </c>
      <c r="H5" s="140">
        <v>-27.203342699510827</v>
      </c>
      <c r="I5" s="140">
        <v>-36.019589050996586</v>
      </c>
      <c r="J5" s="140">
        <v>-15.861701412255485</v>
      </c>
      <c r="K5" s="141">
        <v>-33.421061346389322</v>
      </c>
      <c r="L5" s="141">
        <v>-53.32807487051263</v>
      </c>
      <c r="M5" s="141">
        <v>-13.414646477918666</v>
      </c>
      <c r="N5" s="142">
        <v>-35.496711398800599</v>
      </c>
      <c r="O5" s="142">
        <v>-62.989490404256088</v>
      </c>
      <c r="P5" s="142">
        <v>-9.5288969229862346</v>
      </c>
      <c r="Q5" s="143">
        <v>0</v>
      </c>
      <c r="R5" s="143">
        <v>0</v>
      </c>
      <c r="S5" s="143">
        <v>0</v>
      </c>
      <c r="T5" s="144">
        <v>-4.4000000000000057</v>
      </c>
      <c r="U5" s="144">
        <v>-24.49111111111111</v>
      </c>
      <c r="V5" s="144">
        <v>5.2088888888888789</v>
      </c>
      <c r="W5" s="378">
        <v>-18.599999999999994</v>
      </c>
      <c r="X5" s="378">
        <v>-50.290476190476184</v>
      </c>
      <c r="Y5" s="378">
        <v>0.25555555555555998</v>
      </c>
      <c r="Z5" s="639">
        <v>38.82850446224171</v>
      </c>
      <c r="AA5" s="639">
        <v>43.745276283517704</v>
      </c>
      <c r="AB5" s="639">
        <v>17.426219254240589</v>
      </c>
      <c r="AC5" s="61">
        <v>61.17149553775829</v>
      </c>
      <c r="AE5" s="323">
        <v>20.157887638741101</v>
      </c>
      <c r="AF5" s="323">
        <v>39.913428392593964</v>
      </c>
      <c r="AG5" s="323">
        <v>53.460593481269854</v>
      </c>
      <c r="AH5" s="635">
        <v>3196.35301875391</v>
      </c>
    </row>
    <row r="6" spans="1:56" ht="18" customHeight="1" x14ac:dyDescent="0.3">
      <c r="A6" s="297" t="s">
        <v>369</v>
      </c>
      <c r="B6" s="297" t="s">
        <v>392</v>
      </c>
      <c r="C6" s="297" t="s">
        <v>398</v>
      </c>
      <c r="D6" s="297" t="s">
        <v>399</v>
      </c>
      <c r="E6" s="309" t="s">
        <v>201</v>
      </c>
      <c r="F6" s="319"/>
      <c r="G6" s="319" t="s">
        <v>201</v>
      </c>
      <c r="H6" s="140">
        <v>-30.599284388887341</v>
      </c>
      <c r="I6" s="140">
        <v>-39.699427933957296</v>
      </c>
      <c r="J6" s="140">
        <v>-19.430285729455562</v>
      </c>
      <c r="K6" s="141">
        <v>-36.861548234174194</v>
      </c>
      <c r="L6" s="141">
        <v>-56.646205279012044</v>
      </c>
      <c r="M6" s="141">
        <v>-17.051686745227443</v>
      </c>
      <c r="N6" s="142">
        <v>-37.849853431048189</v>
      </c>
      <c r="O6" s="142">
        <v>-65.428678859731164</v>
      </c>
      <c r="P6" s="142">
        <v>-11.678128779372472</v>
      </c>
      <c r="Q6" s="143">
        <v>0</v>
      </c>
      <c r="R6" s="143">
        <v>0</v>
      </c>
      <c r="S6" s="143">
        <v>0</v>
      </c>
      <c r="T6" s="144">
        <v>-4.4000000000000057</v>
      </c>
      <c r="U6" s="144">
        <v>-24.49111111111111</v>
      </c>
      <c r="V6" s="144">
        <v>5.2088888888888789</v>
      </c>
      <c r="W6" s="378">
        <v>-18.599999999999994</v>
      </c>
      <c r="X6" s="378">
        <v>-50.290476190476184</v>
      </c>
      <c r="Y6" s="378">
        <v>0.25555555555555998</v>
      </c>
      <c r="Z6" s="639">
        <v>37.077765768622832</v>
      </c>
      <c r="AA6" s="639">
        <v>37.519052576913687</v>
      </c>
      <c r="AB6" s="639">
        <v>25.403181654463481</v>
      </c>
      <c r="AC6" s="61">
        <v>62.922234231377168</v>
      </c>
      <c r="AE6" s="323">
        <v>20.269142204501733</v>
      </c>
      <c r="AF6" s="323">
        <v>39.594518533784601</v>
      </c>
      <c r="AG6" s="323">
        <v>53.750550080358693</v>
      </c>
      <c r="AH6" s="635">
        <v>563.71733386718802</v>
      </c>
    </row>
    <row r="7" spans="1:56" ht="18" customHeight="1" x14ac:dyDescent="0.3">
      <c r="A7" s="86" t="s">
        <v>369</v>
      </c>
      <c r="B7" s="86" t="s">
        <v>389</v>
      </c>
      <c r="C7" s="147" t="s">
        <v>490</v>
      </c>
      <c r="D7" s="147" t="s">
        <v>491</v>
      </c>
      <c r="F7" s="319" t="s">
        <v>188</v>
      </c>
      <c r="G7" s="319" t="s">
        <v>188</v>
      </c>
      <c r="H7" s="140">
        <v>-8.4599575515407253</v>
      </c>
      <c r="I7" s="140">
        <v>-14.452810844805001</v>
      </c>
      <c r="J7" s="140">
        <v>-3.5024020378220655</v>
      </c>
      <c r="K7" s="141">
        <v>-21.049035080349512</v>
      </c>
      <c r="L7" s="141">
        <v>-38.008449332579758</v>
      </c>
      <c r="M7" s="141">
        <v>-9.379760593832998</v>
      </c>
      <c r="N7" s="142">
        <v>-29.390964290244739</v>
      </c>
      <c r="O7" s="142">
        <v>-51.743958079402177</v>
      </c>
      <c r="P7" s="142">
        <v>-3.0685482168674412</v>
      </c>
      <c r="Q7" s="143">
        <v>0</v>
      </c>
      <c r="R7" s="143">
        <v>0</v>
      </c>
      <c r="S7" s="143">
        <v>0</v>
      </c>
      <c r="T7" s="144">
        <v>-2.9000000000000057</v>
      </c>
      <c r="U7" s="144">
        <v>-20.663137254901969</v>
      </c>
      <c r="V7" s="144">
        <v>6.0009150326797283</v>
      </c>
      <c r="W7" s="378">
        <v>-23.900000000000006</v>
      </c>
      <c r="X7" s="378">
        <v>-46.157142857142858</v>
      </c>
      <c r="Y7" s="378">
        <v>3.0571428571428498</v>
      </c>
      <c r="Z7" s="639">
        <v>64.418833116324393</v>
      </c>
      <c r="AA7" s="639">
        <v>19.007585918605056</v>
      </c>
      <c r="AB7" s="639">
        <v>16.573580965070544</v>
      </c>
      <c r="AC7" s="61">
        <v>35.5811668836756</v>
      </c>
      <c r="AE7" s="323">
        <v>10.950408806982935</v>
      </c>
      <c r="AF7" s="323">
        <v>28.62868873874676</v>
      </c>
      <c r="AG7" s="323">
        <v>48.675409862534735</v>
      </c>
      <c r="AH7" s="635">
        <v>121667.420868282</v>
      </c>
    </row>
    <row r="8" spans="1:56" ht="18" customHeight="1" x14ac:dyDescent="0.3">
      <c r="A8" s="86" t="s">
        <v>369</v>
      </c>
      <c r="B8" s="86" t="s">
        <v>389</v>
      </c>
      <c r="C8" s="147" t="s">
        <v>390</v>
      </c>
      <c r="D8" s="147" t="s">
        <v>391</v>
      </c>
      <c r="E8" s="309" t="s">
        <v>201</v>
      </c>
      <c r="F8" s="319"/>
      <c r="G8" s="319" t="s">
        <v>201</v>
      </c>
      <c r="H8" s="140">
        <v>-18.766832832692003</v>
      </c>
      <c r="I8" s="140">
        <v>-26.515447947123192</v>
      </c>
      <c r="J8" s="140">
        <v>-2.4763297899490908</v>
      </c>
      <c r="K8" s="141">
        <v>-37.549219598519002</v>
      </c>
      <c r="L8" s="141">
        <v>-53.495236907825344</v>
      </c>
      <c r="M8" s="141">
        <v>-16.114230611402306</v>
      </c>
      <c r="N8" s="142">
        <v>2.1599734783769975</v>
      </c>
      <c r="O8" s="142">
        <v>-39.435541483749681</v>
      </c>
      <c r="P8" s="142">
        <v>43.621705639184853</v>
      </c>
      <c r="Q8" s="143">
        <v>0</v>
      </c>
      <c r="R8" s="143">
        <v>0</v>
      </c>
      <c r="S8" s="143">
        <v>0</v>
      </c>
      <c r="T8" s="144">
        <v>9.0999999999999943</v>
      </c>
      <c r="U8" s="144">
        <v>-13.498599439775916</v>
      </c>
      <c r="V8" s="144">
        <v>24.597012138188603</v>
      </c>
      <c r="W8" s="378">
        <v>34</v>
      </c>
      <c r="X8" s="378">
        <v>-12.926739926739927</v>
      </c>
      <c r="Y8" s="378">
        <v>88.154090354090357</v>
      </c>
      <c r="Z8" s="639">
        <v>37.460295737000003</v>
      </c>
      <c r="AA8" s="639">
        <v>11.192689793</v>
      </c>
      <c r="AB8" s="639">
        <v>51.347014469999998</v>
      </c>
      <c r="AC8" s="61">
        <v>62.539704262999997</v>
      </c>
      <c r="AE8" s="323">
        <v>24.039118157174101</v>
      </c>
      <c r="AF8" s="323">
        <v>37.381006296423038</v>
      </c>
      <c r="AG8" s="323">
        <v>83.057247122934541</v>
      </c>
      <c r="AH8" s="635">
        <v>2018.99507955127</v>
      </c>
    </row>
    <row r="9" spans="1:56" ht="18" customHeight="1" x14ac:dyDescent="0.3">
      <c r="A9" s="297" t="s">
        <v>369</v>
      </c>
      <c r="B9" s="297" t="s">
        <v>389</v>
      </c>
      <c r="C9" s="297" t="s">
        <v>527</v>
      </c>
      <c r="D9" s="297" t="s">
        <v>528</v>
      </c>
      <c r="F9" s="319"/>
      <c r="G9" s="319" t="s">
        <v>267</v>
      </c>
      <c r="H9" s="140">
        <v>-5.9398877240124648</v>
      </c>
      <c r="I9" s="140">
        <v>-9.774585116424106</v>
      </c>
      <c r="J9" s="140">
        <v>-2.3190653090230313</v>
      </c>
      <c r="K9" s="141">
        <v>-14.478438018039469</v>
      </c>
      <c r="L9" s="141">
        <v>-31.971312083478367</v>
      </c>
      <c r="M9" s="141">
        <v>-3.4794683280912295</v>
      </c>
      <c r="N9" s="142">
        <v>-21.650046363687224</v>
      </c>
      <c r="O9" s="142">
        <v>-45.850115217478923</v>
      </c>
      <c r="P9" s="142">
        <v>-3.1703513456188119</v>
      </c>
      <c r="Q9" s="143">
        <v>0</v>
      </c>
      <c r="R9" s="143">
        <v>0</v>
      </c>
      <c r="S9" s="143">
        <v>0</v>
      </c>
      <c r="T9" s="144">
        <v>-1.0999999999999943</v>
      </c>
      <c r="U9" s="144">
        <v>-19.317627401837925</v>
      </c>
      <c r="V9" s="144">
        <v>7.8492898913951592</v>
      </c>
      <c r="W9" s="378">
        <v>-16.299999999999997</v>
      </c>
      <c r="X9" s="378">
        <v>-40.635164835164829</v>
      </c>
      <c r="Y9" s="378">
        <v>2.0630036630036557</v>
      </c>
      <c r="Z9" s="639">
        <v>75.401062885962119</v>
      </c>
      <c r="AA9" s="639">
        <v>14.865988350754733</v>
      </c>
      <c r="AB9" s="639">
        <v>9.7329487632831437</v>
      </c>
      <c r="AC9" s="61">
        <v>24.598937114037877</v>
      </c>
      <c r="AE9" s="323">
        <v>7.4555198074010747</v>
      </c>
      <c r="AF9" s="323">
        <v>28.491843755387137</v>
      </c>
      <c r="AG9" s="323">
        <v>42.679763871860111</v>
      </c>
      <c r="AH9" s="635">
        <v>206729.92893900399</v>
      </c>
    </row>
    <row r="10" spans="1:56" ht="18" customHeight="1" x14ac:dyDescent="0.3">
      <c r="A10" s="86" t="s">
        <v>369</v>
      </c>
      <c r="B10" s="86" t="s">
        <v>442</v>
      </c>
      <c r="C10" s="147" t="s">
        <v>531</v>
      </c>
      <c r="D10" s="147" t="s">
        <v>532</v>
      </c>
      <c r="F10" s="319" t="s">
        <v>188</v>
      </c>
      <c r="G10" s="319" t="s">
        <v>188</v>
      </c>
      <c r="H10" s="140">
        <v>-19.069376867877082</v>
      </c>
      <c r="I10" s="140">
        <v>-24.728304100435182</v>
      </c>
      <c r="J10" s="140">
        <v>-14.34516437085793</v>
      </c>
      <c r="K10" s="141">
        <v>-22.909998132768649</v>
      </c>
      <c r="L10" s="141">
        <v>-38.925627748567422</v>
      </c>
      <c r="M10" s="141">
        <v>-10.395647641792436</v>
      </c>
      <c r="N10" s="142">
        <v>-16.241051088411538</v>
      </c>
      <c r="O10" s="142">
        <v>-36.86352591276377</v>
      </c>
      <c r="P10" s="142">
        <v>1.3322507994030559</v>
      </c>
      <c r="Q10" s="143">
        <v>0</v>
      </c>
      <c r="R10" s="143">
        <v>0</v>
      </c>
      <c r="S10" s="143">
        <v>0</v>
      </c>
      <c r="T10" s="144">
        <v>-2.2000000000000028</v>
      </c>
      <c r="U10" s="144">
        <v>-18.45087719298246</v>
      </c>
      <c r="V10" s="144">
        <v>8.2286549707602319</v>
      </c>
      <c r="W10" s="378">
        <v>-8.0999999999999943</v>
      </c>
      <c r="X10" s="378">
        <v>-28.370588235294107</v>
      </c>
      <c r="Y10" s="378">
        <v>8.9515406162465041</v>
      </c>
      <c r="Z10" s="639">
        <v>60.235403772141183</v>
      </c>
      <c r="AA10" s="639">
        <v>23.085457635452617</v>
      </c>
      <c r="AB10" s="639">
        <v>16.679138592406201</v>
      </c>
      <c r="AC10" s="61">
        <v>39.764596227858817</v>
      </c>
      <c r="AE10" s="323">
        <v>10.383139729577252</v>
      </c>
      <c r="AF10" s="323">
        <v>28.529980106774985</v>
      </c>
      <c r="AG10" s="323">
        <v>38.195776712166825</v>
      </c>
      <c r="AH10" s="635">
        <v>162376.28926485401</v>
      </c>
    </row>
    <row r="11" spans="1:56" ht="18" customHeight="1" x14ac:dyDescent="0.3">
      <c r="A11" s="41" t="s">
        <v>369</v>
      </c>
      <c r="B11" s="41" t="s">
        <v>370</v>
      </c>
      <c r="C11" s="146" t="s">
        <v>377</v>
      </c>
      <c r="D11" s="146" t="s">
        <v>378</v>
      </c>
      <c r="E11" s="309" t="s">
        <v>201</v>
      </c>
      <c r="F11" s="310" t="s">
        <v>201</v>
      </c>
      <c r="G11" s="310" t="s">
        <v>201</v>
      </c>
      <c r="H11" s="140">
        <v>-7.8660928531681833</v>
      </c>
      <c r="I11" s="140">
        <v>-10.053471188245723</v>
      </c>
      <c r="J11" s="140">
        <v>-5.2536122794297597</v>
      </c>
      <c r="K11" s="141">
        <v>-9.4092890219675525</v>
      </c>
      <c r="L11" s="141">
        <v>-26.901242062098717</v>
      </c>
      <c r="M11" s="141">
        <v>1.5477317438383693</v>
      </c>
      <c r="N11" s="142">
        <v>-3.3422872798289802</v>
      </c>
      <c r="O11" s="142">
        <v>-32.434028716906298</v>
      </c>
      <c r="P11" s="142">
        <v>18.164703248412152</v>
      </c>
      <c r="Q11" s="143">
        <v>0</v>
      </c>
      <c r="R11" s="143">
        <v>0</v>
      </c>
      <c r="S11" s="143">
        <v>0</v>
      </c>
      <c r="T11" s="144">
        <v>0.29999999999999716</v>
      </c>
      <c r="U11" s="144">
        <v>-17.768888888888895</v>
      </c>
      <c r="V11" s="144">
        <v>8.764444444444436</v>
      </c>
      <c r="W11" s="378">
        <v>0.59999999999999432</v>
      </c>
      <c r="X11" s="378">
        <v>-27.642857142857153</v>
      </c>
      <c r="Y11" s="378">
        <v>19.857142857142847</v>
      </c>
      <c r="Z11" s="639">
        <v>80.405532853066362</v>
      </c>
      <c r="AA11" s="639">
        <v>13.376887939420246</v>
      </c>
      <c r="AB11" s="639">
        <v>6.2175792075133964</v>
      </c>
      <c r="AC11" s="61">
        <v>19.594467146933642</v>
      </c>
      <c r="AE11" s="323">
        <v>4.7998589088159633</v>
      </c>
      <c r="AF11" s="323">
        <v>28.448973805937086</v>
      </c>
      <c r="AG11" s="323">
        <v>50.59873196531845</v>
      </c>
      <c r="AH11" s="635">
        <v>1259.4555930009799</v>
      </c>
    </row>
    <row r="12" spans="1:56" ht="18" customHeight="1" x14ac:dyDescent="0.3">
      <c r="A12" s="54" t="s">
        <v>369</v>
      </c>
      <c r="B12" s="54" t="s">
        <v>370</v>
      </c>
      <c r="C12" s="54" t="s">
        <v>384</v>
      </c>
      <c r="D12" s="54" t="s">
        <v>385</v>
      </c>
      <c r="E12" s="309" t="s">
        <v>201</v>
      </c>
      <c r="G12" s="310" t="s">
        <v>201</v>
      </c>
      <c r="H12" s="140">
        <v>-9.0248452756741386</v>
      </c>
      <c r="I12" s="140">
        <v>-11.53259953976746</v>
      </c>
      <c r="J12" s="140">
        <v>-6.0297640882000394</v>
      </c>
      <c r="K12" s="141">
        <v>-10.837949145262996</v>
      </c>
      <c r="L12" s="141">
        <v>-28.24514508736948</v>
      </c>
      <c r="M12" s="141">
        <v>0.48396437576377593</v>
      </c>
      <c r="N12" s="142">
        <v>-3.9241085898724464</v>
      </c>
      <c r="O12" s="142">
        <v>-33.140793298538995</v>
      </c>
      <c r="P12" s="142">
        <v>17.912330008377339</v>
      </c>
      <c r="Q12" s="143">
        <v>0</v>
      </c>
      <c r="R12" s="143">
        <v>0</v>
      </c>
      <c r="S12" s="143">
        <v>0</v>
      </c>
      <c r="T12" s="144">
        <v>0.29999999999999716</v>
      </c>
      <c r="U12" s="144">
        <v>-17.768888888888895</v>
      </c>
      <c r="V12" s="144">
        <v>8.764444444444436</v>
      </c>
      <c r="W12" s="378">
        <v>0.59999999999999432</v>
      </c>
      <c r="X12" s="378">
        <v>-27.642857142857153</v>
      </c>
      <c r="Y12" s="378">
        <v>19.857142857142847</v>
      </c>
      <c r="Z12" s="639">
        <v>77.532815770722692</v>
      </c>
      <c r="AA12" s="639">
        <v>15.325227357380447</v>
      </c>
      <c r="AB12" s="639">
        <v>7.1419568718968653</v>
      </c>
      <c r="AC12" s="61">
        <v>22.467184229277311</v>
      </c>
      <c r="AE12" s="323">
        <v>5.5028354515674209</v>
      </c>
      <c r="AF12" s="323">
        <v>28.729109463133256</v>
      </c>
      <c r="AG12" s="323">
        <v>51.053123306916333</v>
      </c>
      <c r="AH12" s="635">
        <v>1096.8840064467799</v>
      </c>
    </row>
    <row r="13" spans="1:56" ht="18" customHeight="1" x14ac:dyDescent="0.3">
      <c r="A13" s="54" t="s">
        <v>369</v>
      </c>
      <c r="B13" s="54" t="s">
        <v>370</v>
      </c>
      <c r="C13" s="54" t="s">
        <v>371</v>
      </c>
      <c r="D13" s="54" t="s">
        <v>372</v>
      </c>
      <c r="E13" s="309" t="s">
        <v>201</v>
      </c>
      <c r="G13" s="310" t="s">
        <v>227</v>
      </c>
      <c r="H13" s="140">
        <v>-7.2951972695008749E-2</v>
      </c>
      <c r="I13" s="140">
        <v>-0.10581152657827886</v>
      </c>
      <c r="J13" s="140">
        <v>-3.3446120490722819E-2</v>
      </c>
      <c r="K13" s="141">
        <v>0.19896840007899641</v>
      </c>
      <c r="L13" s="141">
        <v>-17.862995404273974</v>
      </c>
      <c r="M13" s="141">
        <v>8.7021116921174126</v>
      </c>
      <c r="N13" s="142">
        <v>0.5708192109219965</v>
      </c>
      <c r="O13" s="142">
        <v>-27.680630422906674</v>
      </c>
      <c r="P13" s="142">
        <v>19.862287662792028</v>
      </c>
      <c r="Q13" s="143">
        <v>0</v>
      </c>
      <c r="R13" s="143">
        <v>0</v>
      </c>
      <c r="S13" s="143">
        <v>0</v>
      </c>
      <c r="T13" s="144">
        <v>0.29999999999999716</v>
      </c>
      <c r="U13" s="144">
        <v>-17.768888888888895</v>
      </c>
      <c r="V13" s="144">
        <v>8.764444444444436</v>
      </c>
      <c r="W13" s="378">
        <v>0.59999999999999432</v>
      </c>
      <c r="X13" s="378">
        <v>-27.642857142857153</v>
      </c>
      <c r="Y13" s="378">
        <v>19.857142857142847</v>
      </c>
      <c r="Z13" s="639">
        <v>99.724709536999995</v>
      </c>
      <c r="AA13" s="639">
        <v>0.27529046299999999</v>
      </c>
      <c r="AB13" s="639">
        <v>0</v>
      </c>
      <c r="AC13" s="61">
        <v>0.27529046299999999</v>
      </c>
      <c r="AE13" s="323">
        <v>7.2365406087556039E-2</v>
      </c>
      <c r="AF13" s="323">
        <v>26.565107096391387</v>
      </c>
      <c r="AG13" s="323">
        <v>47.542918085698702</v>
      </c>
      <c r="AH13" s="635">
        <v>160.571586554199</v>
      </c>
    </row>
    <row r="14" spans="1:56" ht="18" customHeight="1" x14ac:dyDescent="0.3">
      <c r="A14" s="41" t="s">
        <v>369</v>
      </c>
      <c r="B14" s="41" t="s">
        <v>420</v>
      </c>
      <c r="C14" s="146" t="s">
        <v>421</v>
      </c>
      <c r="D14" s="146" t="s">
        <v>422</v>
      </c>
      <c r="E14" s="309" t="s">
        <v>383</v>
      </c>
      <c r="F14" s="310" t="s">
        <v>188</v>
      </c>
      <c r="G14" s="310" t="s">
        <v>188</v>
      </c>
      <c r="H14" s="140">
        <v>-2.8465093724210533</v>
      </c>
      <c r="I14" s="140">
        <v>-5.0694946398450895</v>
      </c>
      <c r="J14" s="140">
        <v>-8.6351103538873986E-2</v>
      </c>
      <c r="K14" s="141">
        <v>-8.4590257782689662</v>
      </c>
      <c r="L14" s="141">
        <v>-26.936951027228801</v>
      </c>
      <c r="M14" s="141">
        <v>5.6714117618329993</v>
      </c>
      <c r="N14" s="142">
        <v>-13.58373662491519</v>
      </c>
      <c r="O14" s="142">
        <v>-36.618005393495906</v>
      </c>
      <c r="P14" s="142">
        <v>6.2723283840647355</v>
      </c>
      <c r="Q14" s="143">
        <v>0</v>
      </c>
      <c r="R14" s="143">
        <v>0</v>
      </c>
      <c r="S14" s="143">
        <v>0</v>
      </c>
      <c r="T14" s="144">
        <v>-4.2000000000000028</v>
      </c>
      <c r="U14" s="144">
        <v>-22.291360754828247</v>
      </c>
      <c r="V14" s="144">
        <v>8.8330974495061128</v>
      </c>
      <c r="W14" s="378">
        <v>-12.400000000000006</v>
      </c>
      <c r="X14" s="378">
        <v>-34.843281733746124</v>
      </c>
      <c r="Y14" s="378">
        <v>7.2888957688338394</v>
      </c>
      <c r="Z14" s="639">
        <v>88.040398419698846</v>
      </c>
      <c r="AA14" s="639">
        <v>7.1105550103170083</v>
      </c>
      <c r="AB14" s="639">
        <v>4.8490465699841421</v>
      </c>
      <c r="AC14" s="61">
        <v>11.95960158030115</v>
      </c>
      <c r="AE14" s="323">
        <v>4.9831435363062155</v>
      </c>
      <c r="AF14" s="323">
        <v>32.6083627890618</v>
      </c>
      <c r="AG14" s="323">
        <v>42.890333777560642</v>
      </c>
      <c r="AH14" s="635">
        <v>573524.01146899501</v>
      </c>
    </row>
    <row r="15" spans="1:56" ht="18" customHeight="1" x14ac:dyDescent="0.3">
      <c r="A15" s="86" t="s">
        <v>369</v>
      </c>
      <c r="B15" s="86" t="s">
        <v>423</v>
      </c>
      <c r="C15" s="147" t="s">
        <v>424</v>
      </c>
      <c r="D15" s="147" t="s">
        <v>425</v>
      </c>
      <c r="F15" s="319" t="s">
        <v>267</v>
      </c>
      <c r="G15" s="319" t="s">
        <v>267</v>
      </c>
      <c r="H15" s="140">
        <v>-9.2240711421477783</v>
      </c>
      <c r="I15" s="140">
        <v>-11.944576701112325</v>
      </c>
      <c r="J15" s="140">
        <v>-5.9520949532614083</v>
      </c>
      <c r="K15" s="141">
        <v>-11.698208554297821</v>
      </c>
      <c r="L15" s="141">
        <v>-27.597698622723172</v>
      </c>
      <c r="M15" s="141">
        <v>0.45794254075718754</v>
      </c>
      <c r="N15" s="142">
        <v>-11.261329729565759</v>
      </c>
      <c r="O15" s="142">
        <v>-30.726932886440892</v>
      </c>
      <c r="P15" s="142">
        <v>12.264842014886256</v>
      </c>
      <c r="Q15" s="143">
        <v>0</v>
      </c>
      <c r="R15" s="143">
        <v>0</v>
      </c>
      <c r="S15" s="143">
        <v>0</v>
      </c>
      <c r="T15" s="144">
        <v>-0.90000000000000568</v>
      </c>
      <c r="U15" s="144">
        <v>-16.417948717948718</v>
      </c>
      <c r="V15" s="144">
        <v>9.3170940170940071</v>
      </c>
      <c r="W15" s="378">
        <v>-5.7000000000000028</v>
      </c>
      <c r="X15" s="378">
        <v>-23.211233211233207</v>
      </c>
      <c r="Y15" s="378">
        <v>18.762515262515251</v>
      </c>
      <c r="Z15" s="639">
        <v>79.344195879599667</v>
      </c>
      <c r="AA15" s="639">
        <v>14.911692064626775</v>
      </c>
      <c r="AB15" s="639">
        <v>5.7441120557735603</v>
      </c>
      <c r="AC15" s="61">
        <v>20.655804120400337</v>
      </c>
      <c r="AE15" s="323">
        <v>5.9924817478509169</v>
      </c>
      <c r="AF15" s="323">
        <v>28.05564116348036</v>
      </c>
      <c r="AG15" s="323">
        <v>42.991774901327148</v>
      </c>
      <c r="AH15" s="635">
        <v>5060.2081162758795</v>
      </c>
    </row>
    <row r="16" spans="1:56" ht="18" customHeight="1" x14ac:dyDescent="0.3">
      <c r="A16" s="86" t="s">
        <v>369</v>
      </c>
      <c r="B16" s="86" t="s">
        <v>423</v>
      </c>
      <c r="C16" s="147" t="s">
        <v>430</v>
      </c>
      <c r="D16" s="147" t="s">
        <v>431</v>
      </c>
      <c r="F16" s="319" t="s">
        <v>188</v>
      </c>
      <c r="G16" s="319" t="s">
        <v>188</v>
      </c>
      <c r="H16" s="140">
        <v>-15.964842974773077</v>
      </c>
      <c r="I16" s="140">
        <v>-20.805252898545433</v>
      </c>
      <c r="J16" s="140">
        <v>-8.9972929189328568</v>
      </c>
      <c r="K16" s="141">
        <v>-19.569662367734225</v>
      </c>
      <c r="L16" s="141">
        <v>-33.800644664579167</v>
      </c>
      <c r="M16" s="141">
        <v>-6.1670378166950712</v>
      </c>
      <c r="N16" s="142">
        <v>-11.111469416134895</v>
      </c>
      <c r="O16" s="142">
        <v>-30.224054965724036</v>
      </c>
      <c r="P16" s="142">
        <v>7.7935919624407006</v>
      </c>
      <c r="Q16" s="143">
        <v>0</v>
      </c>
      <c r="R16" s="143">
        <v>0</v>
      </c>
      <c r="S16" s="143">
        <v>0</v>
      </c>
      <c r="T16" s="144">
        <v>-1.4000000000000057</v>
      </c>
      <c r="U16" s="144">
        <v>-15.232748538011705</v>
      </c>
      <c r="V16" s="144">
        <v>7.6198830409356617</v>
      </c>
      <c r="W16" s="378">
        <v>-3.9000000000000057</v>
      </c>
      <c r="X16" s="378">
        <v>-19.043835077890805</v>
      </c>
      <c r="Y16" s="378">
        <v>15.936272052680721</v>
      </c>
      <c r="Z16" s="639">
        <v>56.855351117478293</v>
      </c>
      <c r="AA16" s="639">
        <v>24.81273864545987</v>
      </c>
      <c r="AB16" s="639">
        <v>18.331910237061834</v>
      </c>
      <c r="AC16" s="61">
        <v>43.144648882521707</v>
      </c>
      <c r="AE16" s="323">
        <v>11.807959979612576</v>
      </c>
      <c r="AF16" s="323">
        <v>27.633606847884096</v>
      </c>
      <c r="AG16" s="323">
        <v>38.017646928164737</v>
      </c>
      <c r="AH16" s="635">
        <v>136975.83439771298</v>
      </c>
    </row>
    <row r="17" spans="1:34" ht="18" customHeight="1" x14ac:dyDescent="0.3">
      <c r="A17" s="297" t="s">
        <v>369</v>
      </c>
      <c r="B17" s="297" t="s">
        <v>423</v>
      </c>
      <c r="C17" s="297" t="s">
        <v>428</v>
      </c>
      <c r="D17" s="297" t="s">
        <v>429</v>
      </c>
      <c r="F17" s="319"/>
      <c r="G17" s="319" t="s">
        <v>188</v>
      </c>
      <c r="H17" s="140">
        <v>-15.927242287560361</v>
      </c>
      <c r="I17" s="140">
        <v>-21.592646094681911</v>
      </c>
      <c r="J17" s="140">
        <v>-7.8553996588106401</v>
      </c>
      <c r="K17" s="141">
        <v>-20.000682966471956</v>
      </c>
      <c r="L17" s="141">
        <v>-33.964936436482148</v>
      </c>
      <c r="M17" s="141">
        <v>-6.284774194012158</v>
      </c>
      <c r="N17" s="142">
        <v>-10.643471892902937</v>
      </c>
      <c r="O17" s="142">
        <v>-30.075176840350366</v>
      </c>
      <c r="P17" s="142">
        <v>7.6683820078258265</v>
      </c>
      <c r="Q17" s="143">
        <v>0</v>
      </c>
      <c r="R17" s="143">
        <v>0</v>
      </c>
      <c r="S17" s="143">
        <v>0</v>
      </c>
      <c r="T17" s="144">
        <v>-1.4000000000000057</v>
      </c>
      <c r="U17" s="144">
        <v>-15.232748538011705</v>
      </c>
      <c r="V17" s="144">
        <v>7.6198830409356617</v>
      </c>
      <c r="W17" s="378">
        <v>-3.9000000000000057</v>
      </c>
      <c r="X17" s="378">
        <v>-19.043835077890805</v>
      </c>
      <c r="Y17" s="378">
        <v>15.936272052680721</v>
      </c>
      <c r="Z17" s="639">
        <v>50.708638513340333</v>
      </c>
      <c r="AA17" s="639">
        <v>33.865822388517145</v>
      </c>
      <c r="AB17" s="639">
        <v>15.425539098142524</v>
      </c>
      <c r="AC17" s="61">
        <v>49.291361486659667</v>
      </c>
      <c r="AE17" s="323">
        <v>13.73724643587127</v>
      </c>
      <c r="AF17" s="323">
        <v>27.68016224246999</v>
      </c>
      <c r="AG17" s="323">
        <v>37.743558848176193</v>
      </c>
      <c r="AH17" s="635">
        <v>32780.920966348596</v>
      </c>
    </row>
    <row r="18" spans="1:34" ht="18" customHeight="1" x14ac:dyDescent="0.3">
      <c r="A18" s="297" t="s">
        <v>369</v>
      </c>
      <c r="B18" s="297" t="s">
        <v>423</v>
      </c>
      <c r="C18" s="297" t="s">
        <v>539</v>
      </c>
      <c r="D18" s="297" t="s">
        <v>540</v>
      </c>
      <c r="F18" s="319"/>
      <c r="G18" s="319" t="s">
        <v>188</v>
      </c>
      <c r="H18" s="140">
        <v>-21.421734628362202</v>
      </c>
      <c r="I18" s="140">
        <v>-27.53286857612683</v>
      </c>
      <c r="J18" s="140">
        <v>-12.586838315157365</v>
      </c>
      <c r="K18" s="141">
        <v>-25.562777124902183</v>
      </c>
      <c r="L18" s="141">
        <v>-40.051830696709494</v>
      </c>
      <c r="M18" s="141">
        <v>-10.810581486623576</v>
      </c>
      <c r="N18" s="142">
        <v>-13.783335903552342</v>
      </c>
      <c r="O18" s="142">
        <v>-34.101757627982877</v>
      </c>
      <c r="P18" s="142">
        <v>5.0766177789924853</v>
      </c>
      <c r="Q18" s="143">
        <v>0</v>
      </c>
      <c r="R18" s="143">
        <v>0</v>
      </c>
      <c r="S18" s="143">
        <v>0</v>
      </c>
      <c r="T18" s="144">
        <v>-1.4000000000000057</v>
      </c>
      <c r="U18" s="144">
        <v>-15.232748538011705</v>
      </c>
      <c r="V18" s="144">
        <v>7.6198830409356617</v>
      </c>
      <c r="W18" s="378">
        <v>-3.9000000000000057</v>
      </c>
      <c r="X18" s="378">
        <v>-19.043835077890805</v>
      </c>
      <c r="Y18" s="378">
        <v>15.936272052680721</v>
      </c>
      <c r="Z18" s="639">
        <v>44.975124299109766</v>
      </c>
      <c r="AA18" s="639">
        <v>29.113280250314372</v>
      </c>
      <c r="AB18" s="639">
        <v>25.911595450575863</v>
      </c>
      <c r="AC18" s="61">
        <v>55.024875700890234</v>
      </c>
      <c r="AE18" s="323">
        <v>14.946030260969465</v>
      </c>
      <c r="AF18" s="323">
        <v>29.241249210085918</v>
      </c>
      <c r="AG18" s="323">
        <v>39.178375406975363</v>
      </c>
      <c r="AH18" s="635">
        <v>42608.093513959502</v>
      </c>
    </row>
    <row r="19" spans="1:34" ht="18" customHeight="1" x14ac:dyDescent="0.3">
      <c r="A19" s="297" t="s">
        <v>369</v>
      </c>
      <c r="B19" s="297" t="s">
        <v>423</v>
      </c>
      <c r="C19" s="297" t="s">
        <v>426</v>
      </c>
      <c r="D19" s="297" t="s">
        <v>427</v>
      </c>
      <c r="F19" s="319"/>
      <c r="G19" s="319" t="s">
        <v>188</v>
      </c>
      <c r="H19" s="140">
        <v>-14.691372629211571</v>
      </c>
      <c r="I19" s="140">
        <v>-18.768053493448889</v>
      </c>
      <c r="J19" s="140">
        <v>-8.7855899496976235</v>
      </c>
      <c r="K19" s="141">
        <v>-17.906397662418243</v>
      </c>
      <c r="L19" s="141">
        <v>-32.22561581188944</v>
      </c>
      <c r="M19" s="141">
        <v>-4.9994769903965306</v>
      </c>
      <c r="N19" s="142">
        <v>-10.73985856992914</v>
      </c>
      <c r="O19" s="142">
        <v>-29.387568832563716</v>
      </c>
      <c r="P19" s="142">
        <v>8.5083000775342015</v>
      </c>
      <c r="Q19" s="143">
        <v>0</v>
      </c>
      <c r="R19" s="143">
        <v>0</v>
      </c>
      <c r="S19" s="143">
        <v>0</v>
      </c>
      <c r="T19" s="144">
        <v>-1.4000000000000057</v>
      </c>
      <c r="U19" s="144">
        <v>-15.232748538011705</v>
      </c>
      <c r="V19" s="144">
        <v>7.6198830409356617</v>
      </c>
      <c r="W19" s="378">
        <v>-3.9000000000000057</v>
      </c>
      <c r="X19" s="378">
        <v>-19.043835077890805</v>
      </c>
      <c r="Y19" s="378">
        <v>15.936272052680721</v>
      </c>
      <c r="Z19" s="639">
        <v>63.117932756380569</v>
      </c>
      <c r="AA19" s="639">
        <v>18.71973855999979</v>
      </c>
      <c r="AB19" s="639">
        <v>18.162328683619634</v>
      </c>
      <c r="AC19" s="61">
        <v>36.882067243619424</v>
      </c>
      <c r="AE19" s="323">
        <v>9.9824635437512654</v>
      </c>
      <c r="AF19" s="323">
        <v>27.22613882149291</v>
      </c>
      <c r="AG19" s="323">
        <v>37.895868910097917</v>
      </c>
      <c r="AH19" s="635">
        <v>70223.388973976107</v>
      </c>
    </row>
    <row r="20" spans="1:34" ht="18" customHeight="1" x14ac:dyDescent="0.3">
      <c r="A20" s="41" t="s">
        <v>369</v>
      </c>
      <c r="B20" s="41" t="s">
        <v>379</v>
      </c>
      <c r="C20" s="146" t="s">
        <v>380</v>
      </c>
      <c r="D20" s="146" t="s">
        <v>381</v>
      </c>
      <c r="E20" s="309" t="s">
        <v>383</v>
      </c>
      <c r="F20" s="310" t="s">
        <v>188</v>
      </c>
      <c r="G20" s="310" t="s">
        <v>188</v>
      </c>
      <c r="H20" s="140">
        <v>-8.3663356408222711</v>
      </c>
      <c r="I20" s="140">
        <v>-12.775600443428303</v>
      </c>
      <c r="J20" s="140">
        <v>-3.8096825155126055</v>
      </c>
      <c r="K20" s="141">
        <v>-13.131339932467654</v>
      </c>
      <c r="L20" s="141">
        <v>-29.206484848970987</v>
      </c>
      <c r="M20" s="141">
        <v>-1.3973543949189491</v>
      </c>
      <c r="N20" s="142">
        <v>-7.5058320844299971</v>
      </c>
      <c r="O20" s="142">
        <v>-26.316625533807269</v>
      </c>
      <c r="P20" s="142">
        <v>9.3001052061629963</v>
      </c>
      <c r="Q20" s="143">
        <v>0</v>
      </c>
      <c r="R20" s="143">
        <v>0</v>
      </c>
      <c r="S20" s="143">
        <v>0</v>
      </c>
      <c r="T20" s="144">
        <v>-1.0999999999999943</v>
      </c>
      <c r="U20" s="144">
        <v>-16.901577473094491</v>
      </c>
      <c r="V20" s="144">
        <v>8.3421003489115009</v>
      </c>
      <c r="W20" s="378">
        <v>-3.2000000000000028</v>
      </c>
      <c r="X20" s="378">
        <v>-22.577355152587359</v>
      </c>
      <c r="Y20" s="378">
        <v>11.277355152587347</v>
      </c>
      <c r="Z20" s="639">
        <v>66.097321457303693</v>
      </c>
      <c r="AA20" s="639">
        <v>19.963844533434642</v>
      </c>
      <c r="AB20" s="639">
        <v>13.938834009261663</v>
      </c>
      <c r="AC20" s="61">
        <v>33.902678542696307</v>
      </c>
      <c r="AE20" s="323">
        <v>8.9659179279156973</v>
      </c>
      <c r="AF20" s="323">
        <v>27.809130454052038</v>
      </c>
      <c r="AG20" s="323">
        <v>35.616730739970265</v>
      </c>
      <c r="AH20" s="635">
        <v>158730.05250913199</v>
      </c>
    </row>
    <row r="21" spans="1:34" ht="18" customHeight="1" x14ac:dyDescent="0.3">
      <c r="A21" s="41" t="s">
        <v>369</v>
      </c>
      <c r="B21" s="41" t="s">
        <v>484</v>
      </c>
      <c r="C21" s="146" t="s">
        <v>537</v>
      </c>
      <c r="D21" s="146" t="s">
        <v>538</v>
      </c>
      <c r="F21" s="310" t="s">
        <v>188</v>
      </c>
      <c r="G21" s="310" t="s">
        <v>188</v>
      </c>
      <c r="H21" s="140">
        <v>-21.783128789443722</v>
      </c>
      <c r="I21" s="140">
        <v>-29.65718405194562</v>
      </c>
      <c r="J21" s="140">
        <v>-15.225655743518757</v>
      </c>
      <c r="K21" s="141">
        <v>-24.971613762491728</v>
      </c>
      <c r="L21" s="141">
        <v>-40.751450611910869</v>
      </c>
      <c r="M21" s="141">
        <v>-11.856604045843795</v>
      </c>
      <c r="N21" s="142">
        <v>-12.980347779582857</v>
      </c>
      <c r="O21" s="142">
        <v>-37.727650874045814</v>
      </c>
      <c r="P21" s="142">
        <v>8.5928668053763175</v>
      </c>
      <c r="Q21" s="143">
        <v>0</v>
      </c>
      <c r="R21" s="143">
        <v>0</v>
      </c>
      <c r="S21" s="143">
        <v>0</v>
      </c>
      <c r="T21" s="144">
        <v>-1</v>
      </c>
      <c r="U21" s="144">
        <v>-16.078362573099412</v>
      </c>
      <c r="V21" s="144">
        <v>8.3005847953216403</v>
      </c>
      <c r="W21" s="378">
        <v>-1.9000000000000057</v>
      </c>
      <c r="X21" s="378">
        <v>-22.158307533539727</v>
      </c>
      <c r="Y21" s="378">
        <v>16.024974200206401</v>
      </c>
      <c r="Z21" s="639">
        <v>48.245436483512677</v>
      </c>
      <c r="AA21" s="639">
        <v>29.452728159369151</v>
      </c>
      <c r="AB21" s="639">
        <v>22.301835357118176</v>
      </c>
      <c r="AC21" s="61">
        <v>51.754563516487323</v>
      </c>
      <c r="AE21" s="323">
        <v>14.431528308426863</v>
      </c>
      <c r="AF21" s="323">
        <v>28.894846566067073</v>
      </c>
      <c r="AG21" s="323">
        <v>46.320517679422132</v>
      </c>
      <c r="AH21" s="635">
        <v>29366.769302624001</v>
      </c>
    </row>
    <row r="22" spans="1:34" ht="18" customHeight="1" x14ac:dyDescent="0.3">
      <c r="A22" s="86" t="s">
        <v>369</v>
      </c>
      <c r="B22" s="86" t="s">
        <v>386</v>
      </c>
      <c r="C22" s="147" t="s">
        <v>387</v>
      </c>
      <c r="D22" s="147" t="s">
        <v>388</v>
      </c>
      <c r="E22" s="309" t="s">
        <v>227</v>
      </c>
      <c r="F22" s="319"/>
      <c r="G22" s="319" t="s">
        <v>227</v>
      </c>
      <c r="H22" s="140">
        <v>-12.835189789359944</v>
      </c>
      <c r="I22" s="140">
        <v>-14.543942243649639</v>
      </c>
      <c r="J22" s="140">
        <v>-10.064128256020211</v>
      </c>
      <c r="K22" s="141">
        <v>-15.250557632329048</v>
      </c>
      <c r="L22" s="141">
        <v>-36.946686083432894</v>
      </c>
      <c r="M22" s="141">
        <v>0.67644679797562901</v>
      </c>
      <c r="N22" s="142">
        <v>-8.7542320954487138</v>
      </c>
      <c r="O22" s="142">
        <v>-47.255034559223667</v>
      </c>
      <c r="P22" s="142">
        <v>29.948764715298523</v>
      </c>
      <c r="Q22" s="143">
        <v>0</v>
      </c>
      <c r="R22" s="143">
        <v>0</v>
      </c>
      <c r="S22" s="143">
        <v>0</v>
      </c>
      <c r="T22" s="144">
        <v>1.7000000000000028</v>
      </c>
      <c r="U22" s="144">
        <v>-22.12222222222222</v>
      </c>
      <c r="V22" s="144">
        <v>16.022222222222226</v>
      </c>
      <c r="W22" s="378">
        <v>2.7999999999999972</v>
      </c>
      <c r="X22" s="378">
        <v>-38.293015873015875</v>
      </c>
      <c r="Y22" s="378">
        <v>42.748253968253948</v>
      </c>
      <c r="Z22" s="639">
        <v>75.392459548255204</v>
      </c>
      <c r="AA22" s="639">
        <v>10.78495237627755</v>
      </c>
      <c r="AB22" s="639">
        <v>13.822588075467248</v>
      </c>
      <c r="AC22" s="61">
        <v>24.607540451744796</v>
      </c>
      <c r="AE22" s="323">
        <v>4.4798139876294272</v>
      </c>
      <c r="AF22" s="323">
        <v>37.623132881408523</v>
      </c>
      <c r="AG22" s="323">
        <v>77.203799274522197</v>
      </c>
      <c r="AH22" s="635">
        <v>1717.5098227963902</v>
      </c>
    </row>
    <row r="23" spans="1:34" ht="18" customHeight="1" x14ac:dyDescent="0.3">
      <c r="A23" s="297" t="s">
        <v>369</v>
      </c>
      <c r="B23" s="297" t="s">
        <v>386</v>
      </c>
      <c r="C23" s="297" t="s">
        <v>529</v>
      </c>
      <c r="D23" s="297" t="s">
        <v>530</v>
      </c>
      <c r="F23" s="319"/>
      <c r="G23" s="319" t="s">
        <v>267</v>
      </c>
      <c r="H23" s="140">
        <v>-17.729254837122312</v>
      </c>
      <c r="I23" s="140">
        <v>-20.942589845471517</v>
      </c>
      <c r="J23" s="140">
        <v>-13.348283443123009</v>
      </c>
      <c r="K23" s="141">
        <v>-26.851182501310035</v>
      </c>
      <c r="L23" s="141">
        <v>-42.047857457172874</v>
      </c>
      <c r="M23" s="141">
        <v>-14.114421727080938</v>
      </c>
      <c r="N23" s="142">
        <v>-17.990752013414749</v>
      </c>
      <c r="O23" s="142">
        <v>-45.28792129692733</v>
      </c>
      <c r="P23" s="142">
        <v>3.8339690724862976</v>
      </c>
      <c r="Q23" s="143">
        <v>0</v>
      </c>
      <c r="R23" s="143">
        <v>0</v>
      </c>
      <c r="S23" s="143">
        <v>0</v>
      </c>
      <c r="T23" s="144">
        <v>-3.4000000000000057</v>
      </c>
      <c r="U23" s="144">
        <v>-19.432817337461302</v>
      </c>
      <c r="V23" s="144">
        <v>4.5066735466116228</v>
      </c>
      <c r="W23" s="378">
        <v>-12.200000000000003</v>
      </c>
      <c r="X23" s="378">
        <v>-38.040100250626566</v>
      </c>
      <c r="Y23" s="378">
        <v>7.430576441102744</v>
      </c>
      <c r="Z23" s="639">
        <v>61.363241587585037</v>
      </c>
      <c r="AA23" s="639">
        <v>19.459198666170607</v>
      </c>
      <c r="AB23" s="639">
        <v>19.177559746244359</v>
      </c>
      <c r="AC23" s="61">
        <v>38.636758412414963</v>
      </c>
      <c r="AE23" s="323">
        <v>7.5943064023485078</v>
      </c>
      <c r="AF23" s="323">
        <v>27.933435730091936</v>
      </c>
      <c r="AG23" s="323">
        <v>49.121890369413627</v>
      </c>
      <c r="AH23" s="635">
        <v>13430.561947094999</v>
      </c>
    </row>
    <row r="24" spans="1:34" ht="18" customHeight="1" x14ac:dyDescent="0.3">
      <c r="A24" s="41" t="s">
        <v>369</v>
      </c>
      <c r="B24" s="41" t="s">
        <v>459</v>
      </c>
      <c r="C24" s="146" t="s">
        <v>492</v>
      </c>
      <c r="D24" s="146" t="s">
        <v>493</v>
      </c>
      <c r="G24" s="310" t="s">
        <v>267</v>
      </c>
      <c r="H24" s="140">
        <v>-39.160525326974998</v>
      </c>
      <c r="I24" s="140">
        <v>-46.086678584658927</v>
      </c>
      <c r="J24" s="140">
        <v>-31.371632047843008</v>
      </c>
      <c r="K24" s="141">
        <v>-43.809342990500994</v>
      </c>
      <c r="L24" s="141">
        <v>-61.821688511810713</v>
      </c>
      <c r="M24" s="141">
        <v>-27.23822266860553</v>
      </c>
      <c r="N24" s="142">
        <v>-33.126225437003995</v>
      </c>
      <c r="O24" s="142">
        <v>-57.987640308001119</v>
      </c>
      <c r="P24" s="142">
        <v>-8.8504104155662588</v>
      </c>
      <c r="Q24" s="143">
        <v>0</v>
      </c>
      <c r="R24" s="143">
        <v>0</v>
      </c>
      <c r="S24" s="143">
        <v>0</v>
      </c>
      <c r="T24" s="144">
        <v>-0.29999999999999716</v>
      </c>
      <c r="U24" s="144">
        <v>-18.86984126984126</v>
      </c>
      <c r="V24" s="144">
        <v>10.050793650793651</v>
      </c>
      <c r="W24" s="378">
        <v>-3.5</v>
      </c>
      <c r="X24" s="378">
        <v>-26.447619047619042</v>
      </c>
      <c r="Y24" s="378">
        <v>20.685714285714283</v>
      </c>
      <c r="Z24" s="639">
        <v>37.460295737000003</v>
      </c>
      <c r="AA24" s="639">
        <v>11.192689793</v>
      </c>
      <c r="AB24" s="639">
        <v>51.347014469999998</v>
      </c>
      <c r="AC24" s="61">
        <v>62.539704262999997</v>
      </c>
      <c r="AE24" s="323">
        <v>14.715046536815919</v>
      </c>
      <c r="AF24" s="323">
        <v>34.583465843205182</v>
      </c>
      <c r="AG24" s="323">
        <v>49.13722989243486</v>
      </c>
      <c r="AH24" s="635">
        <v>2018.99507955127</v>
      </c>
    </row>
    <row r="25" spans="1:34" ht="18" customHeight="1" x14ac:dyDescent="0.3">
      <c r="A25" s="41" t="s">
        <v>369</v>
      </c>
      <c r="B25" s="41" t="s">
        <v>484</v>
      </c>
      <c r="C25" s="146" t="s">
        <v>535</v>
      </c>
      <c r="D25" s="146" t="s">
        <v>536</v>
      </c>
      <c r="F25" s="310" t="s">
        <v>188</v>
      </c>
      <c r="G25" s="310" t="s">
        <v>188</v>
      </c>
      <c r="H25" s="140">
        <v>-21.527135444054949</v>
      </c>
      <c r="I25" s="140">
        <v>-27.220207109620404</v>
      </c>
      <c r="J25" s="140">
        <v>-15.226011315196374</v>
      </c>
      <c r="K25" s="141">
        <v>-26.855517098878892</v>
      </c>
      <c r="L25" s="141">
        <v>-42.436715561931081</v>
      </c>
      <c r="M25" s="141">
        <v>-12.618926073933409</v>
      </c>
      <c r="N25" s="142">
        <v>-14.916947208905754</v>
      </c>
      <c r="O25" s="142">
        <v>-34.848631473006975</v>
      </c>
      <c r="P25" s="142">
        <v>4.2687008730885054</v>
      </c>
      <c r="Q25" s="143">
        <v>0</v>
      </c>
      <c r="R25" s="143">
        <v>0</v>
      </c>
      <c r="S25" s="143">
        <v>0</v>
      </c>
      <c r="T25" s="144">
        <v>-3.2999999999999972</v>
      </c>
      <c r="U25" s="144">
        <v>-19.515204678362579</v>
      </c>
      <c r="V25" s="144">
        <v>5.9467836257310012</v>
      </c>
      <c r="W25" s="378">
        <v>-6</v>
      </c>
      <c r="X25" s="378">
        <v>-25.332817337461307</v>
      </c>
      <c r="Y25" s="378">
        <v>11.862229102167191</v>
      </c>
      <c r="Z25" s="639">
        <v>52.814807194951186</v>
      </c>
      <c r="AA25" s="639">
        <v>23.883414299107638</v>
      </c>
      <c r="AB25" s="639">
        <v>23.301778505941169</v>
      </c>
      <c r="AC25" s="61">
        <v>47.185192805048807</v>
      </c>
      <c r="AE25" s="323">
        <v>11.99419579442403</v>
      </c>
      <c r="AF25" s="323">
        <v>29.817789487997672</v>
      </c>
      <c r="AG25" s="323">
        <v>39.11733234609548</v>
      </c>
      <c r="AH25" s="635">
        <v>77777.556823696796</v>
      </c>
    </row>
    <row r="26" spans="1:34" ht="18" customHeight="1" x14ac:dyDescent="0.3">
      <c r="A26" s="54" t="s">
        <v>369</v>
      </c>
      <c r="B26" s="54" t="s">
        <v>484</v>
      </c>
      <c r="C26" s="54" t="s">
        <v>541</v>
      </c>
      <c r="D26" s="54" t="s">
        <v>542</v>
      </c>
      <c r="G26" s="310" t="s">
        <v>188</v>
      </c>
      <c r="H26" s="140">
        <v>-24.146976119777548</v>
      </c>
      <c r="I26" s="140">
        <v>-30.60269055078264</v>
      </c>
      <c r="J26" s="140">
        <v>-16.994786512512334</v>
      </c>
      <c r="K26" s="141">
        <v>-29.738813630479129</v>
      </c>
      <c r="L26" s="141">
        <v>-45.278235318309122</v>
      </c>
      <c r="M26" s="141">
        <v>-14.849785116925688</v>
      </c>
      <c r="N26" s="142">
        <v>-15.977230467157369</v>
      </c>
      <c r="O26" s="142">
        <v>-35.991824168700333</v>
      </c>
      <c r="P26" s="142">
        <v>3.3888876080630723</v>
      </c>
      <c r="Q26" s="143">
        <v>0</v>
      </c>
      <c r="R26" s="143">
        <v>0</v>
      </c>
      <c r="S26" s="143">
        <v>0</v>
      </c>
      <c r="T26" s="144">
        <v>-3.2999999999999972</v>
      </c>
      <c r="U26" s="144">
        <v>-19.515204678362579</v>
      </c>
      <c r="V26" s="144">
        <v>5.9467836257310012</v>
      </c>
      <c r="W26" s="378">
        <v>-6</v>
      </c>
      <c r="X26" s="378">
        <v>-25.332817337461307</v>
      </c>
      <c r="Y26" s="378">
        <v>11.862229102167191</v>
      </c>
      <c r="Z26" s="639">
        <v>46.667050370217112</v>
      </c>
      <c r="AA26" s="639">
        <v>27.406136504430982</v>
      </c>
      <c r="AB26" s="639">
        <v>25.926813125351909</v>
      </c>
      <c r="AC26" s="61">
        <v>53.332949629782888</v>
      </c>
      <c r="AE26" s="323">
        <v>13.607904038270306</v>
      </c>
      <c r="AF26" s="323">
        <v>30.428450201383434</v>
      </c>
      <c r="AG26" s="323">
        <v>39.380711776763405</v>
      </c>
      <c r="AH26" s="635">
        <v>11870.3368644824</v>
      </c>
    </row>
    <row r="27" spans="1:34" ht="18" customHeight="1" x14ac:dyDescent="0.3">
      <c r="A27" s="54" t="s">
        <v>369</v>
      </c>
      <c r="B27" s="54" t="s">
        <v>484</v>
      </c>
      <c r="C27" s="54" t="s">
        <v>533</v>
      </c>
      <c r="D27" s="54" t="s">
        <v>534</v>
      </c>
      <c r="G27" s="310" t="s">
        <v>188</v>
      </c>
      <c r="H27" s="140">
        <v>-21.036895239456115</v>
      </c>
      <c r="I27" s="140">
        <v>-26.58790480796938</v>
      </c>
      <c r="J27" s="140">
        <v>-14.89424545829857</v>
      </c>
      <c r="K27" s="141">
        <v>-26.316131640936817</v>
      </c>
      <c r="L27" s="141">
        <v>-41.905476180085479</v>
      </c>
      <c r="M27" s="141">
        <v>-12.201209054514706</v>
      </c>
      <c r="N27" s="142">
        <v>-14.718309419699011</v>
      </c>
      <c r="O27" s="142">
        <v>-34.634572293838616</v>
      </c>
      <c r="P27" s="142">
        <v>4.4337482910600983</v>
      </c>
      <c r="Q27" s="143">
        <v>0</v>
      </c>
      <c r="R27" s="143">
        <v>0</v>
      </c>
      <c r="S27" s="143">
        <v>0</v>
      </c>
      <c r="T27" s="144">
        <v>-3.2999999999999972</v>
      </c>
      <c r="U27" s="144">
        <v>-19.515204678362579</v>
      </c>
      <c r="V27" s="144">
        <v>5.9467836257310012</v>
      </c>
      <c r="W27" s="378">
        <v>-6</v>
      </c>
      <c r="X27" s="378">
        <v>-25.332817337461307</v>
      </c>
      <c r="Y27" s="378">
        <v>11.862229102167191</v>
      </c>
      <c r="Z27" s="639">
        <v>53.961448015006113</v>
      </c>
      <c r="AA27" s="639">
        <v>23.229942929510461</v>
      </c>
      <c r="AB27" s="639">
        <v>22.808609055483426</v>
      </c>
      <c r="AC27" s="61">
        <v>46.038551984993887</v>
      </c>
      <c r="AE27" s="323">
        <v>11.69365934967081</v>
      </c>
      <c r="AF27" s="323">
        <v>29.704267125570773</v>
      </c>
      <c r="AG27" s="323">
        <v>39.068320584898714</v>
      </c>
      <c r="AH27" s="635">
        <v>65907.219959214402</v>
      </c>
    </row>
    <row r="28" spans="1:34" ht="18" customHeight="1" x14ac:dyDescent="0.3">
      <c r="A28" s="41" t="s">
        <v>369</v>
      </c>
      <c r="B28" s="41" t="s">
        <v>484</v>
      </c>
      <c r="C28" s="146" t="s">
        <v>734</v>
      </c>
      <c r="D28" s="146" t="s">
        <v>543</v>
      </c>
      <c r="G28" s="310" t="s">
        <v>188</v>
      </c>
      <c r="H28" s="140">
        <v>-27.179393466570076</v>
      </c>
      <c r="I28" s="140">
        <v>-34.082777530312569</v>
      </c>
      <c r="J28" s="140">
        <v>-17.798353999243275</v>
      </c>
      <c r="K28" s="141">
        <v>-30.100690542015016</v>
      </c>
      <c r="L28" s="141">
        <v>-47.294156735312498</v>
      </c>
      <c r="M28" s="141">
        <v>-13.28754888646867</v>
      </c>
      <c r="N28" s="142">
        <v>-17.921206374461775</v>
      </c>
      <c r="O28" s="142">
        <v>-37.042270155648147</v>
      </c>
      <c r="P28" s="142">
        <v>3.1673550243277759</v>
      </c>
      <c r="Q28" s="143">
        <v>0</v>
      </c>
      <c r="R28" s="143">
        <v>0</v>
      </c>
      <c r="S28" s="143">
        <v>0</v>
      </c>
      <c r="T28" s="144">
        <v>-1</v>
      </c>
      <c r="U28" s="144">
        <v>-17.953216374269005</v>
      </c>
      <c r="V28" s="144">
        <v>9.7274853801169598</v>
      </c>
      <c r="W28" s="378">
        <v>-4.2000000000000028</v>
      </c>
      <c r="X28" s="378">
        <v>-23.120536635706912</v>
      </c>
      <c r="Y28" s="378">
        <v>15.408771929824553</v>
      </c>
      <c r="Z28" s="639">
        <v>46.368781848103829</v>
      </c>
      <c r="AA28" s="639">
        <v>33.58372145001011</v>
      </c>
      <c r="AB28" s="639">
        <v>20.047496701886068</v>
      </c>
      <c r="AC28" s="61">
        <v>53.631218151896178</v>
      </c>
      <c r="AE28" s="323">
        <v>16.284423531069294</v>
      </c>
      <c r="AF28" s="323">
        <v>34.006607848843828</v>
      </c>
      <c r="AG28" s="323">
        <v>40.209625179975923</v>
      </c>
      <c r="AH28" s="635">
        <v>64284.388201933099</v>
      </c>
    </row>
    <row r="29" spans="1:34" ht="18" customHeight="1" x14ac:dyDescent="0.3">
      <c r="A29" s="41" t="s">
        <v>369</v>
      </c>
      <c r="B29" s="41" t="s">
        <v>453</v>
      </c>
      <c r="C29" s="146" t="s">
        <v>495</v>
      </c>
      <c r="D29" s="146" t="s">
        <v>496</v>
      </c>
      <c r="G29" s="310" t="s">
        <v>188</v>
      </c>
      <c r="H29" s="140">
        <v>-51.935008196620004</v>
      </c>
      <c r="I29" s="140">
        <v>-56.464409534401454</v>
      </c>
      <c r="J29" s="140">
        <v>-46.247955772289828</v>
      </c>
      <c r="K29" s="141">
        <v>-56.172290979002007</v>
      </c>
      <c r="L29" s="141">
        <v>-67.781832710137564</v>
      </c>
      <c r="M29" s="141">
        <v>-41.083115993539948</v>
      </c>
      <c r="N29" s="142">
        <v>-30.49472126503801</v>
      </c>
      <c r="O29" s="142">
        <v>-61.275678462535005</v>
      </c>
      <c r="P29" s="142">
        <v>-2.745123391750397</v>
      </c>
      <c r="Q29" s="143">
        <v>0</v>
      </c>
      <c r="R29" s="143">
        <v>0</v>
      </c>
      <c r="S29" s="143">
        <v>0</v>
      </c>
      <c r="T29" s="144">
        <v>-0.20000000000000284</v>
      </c>
      <c r="U29" s="144">
        <v>-19.748538011695899</v>
      </c>
      <c r="V29" s="144">
        <v>9.8830409356725113</v>
      </c>
      <c r="W29" s="378">
        <v>-5</v>
      </c>
      <c r="X29" s="378">
        <v>-28.388888888888886</v>
      </c>
      <c r="Y29" s="378">
        <v>14.111111111111114</v>
      </c>
      <c r="Z29" s="639">
        <v>32.143407983999992</v>
      </c>
      <c r="AA29" s="639">
        <v>11.247951146</v>
      </c>
      <c r="AB29" s="639">
        <v>56.608640870000002</v>
      </c>
      <c r="AC29" s="61">
        <v>67.856592016000008</v>
      </c>
      <c r="AE29" s="323">
        <v>10.216453762111627</v>
      </c>
      <c r="AF29" s="323">
        <v>26.698716716597616</v>
      </c>
      <c r="AG29" s="323">
        <v>58.530555070784608</v>
      </c>
      <c r="AH29" s="635">
        <v>1815.1567493881801</v>
      </c>
    </row>
    <row r="30" spans="1:34" ht="18" customHeight="1" x14ac:dyDescent="0.3">
      <c r="A30" s="41" t="s">
        <v>369</v>
      </c>
      <c r="B30" s="41" t="s">
        <v>417</v>
      </c>
      <c r="C30" s="146" t="s">
        <v>418</v>
      </c>
      <c r="D30" s="146" t="s">
        <v>419</v>
      </c>
      <c r="E30" s="309" t="s">
        <v>187</v>
      </c>
      <c r="G30" s="310" t="s">
        <v>187</v>
      </c>
      <c r="H30" s="140">
        <v>-30.131900813328002</v>
      </c>
      <c r="I30" s="140">
        <v>-34.089801873457716</v>
      </c>
      <c r="J30" s="140">
        <v>-24.83242138554229</v>
      </c>
      <c r="K30" s="141">
        <v>-37.279566816820001</v>
      </c>
      <c r="L30" s="141">
        <v>-52.48424392406038</v>
      </c>
      <c r="M30" s="141">
        <v>-22.340877275922509</v>
      </c>
      <c r="N30" s="142">
        <v>-35.739545245675998</v>
      </c>
      <c r="O30" s="142">
        <v>-57.499587531656324</v>
      </c>
      <c r="P30" s="142">
        <v>-14.538174119243507</v>
      </c>
      <c r="Q30" s="143">
        <v>0</v>
      </c>
      <c r="R30" s="143">
        <v>0</v>
      </c>
      <c r="S30" s="143">
        <v>0</v>
      </c>
      <c r="T30" s="144">
        <v>-4.9000000000000057</v>
      </c>
      <c r="U30" s="144">
        <v>-21.866666666666674</v>
      </c>
      <c r="V30" s="144">
        <v>4.74444444444444</v>
      </c>
      <c r="W30" s="378">
        <v>-20.900000000000006</v>
      </c>
      <c r="X30" s="378">
        <v>-43.75238095238096</v>
      </c>
      <c r="Y30" s="378">
        <v>-4.8047619047619037</v>
      </c>
      <c r="Z30" s="639">
        <v>52.244156488000002</v>
      </c>
      <c r="AA30" s="639">
        <v>9.062994582</v>
      </c>
      <c r="AB30" s="639">
        <v>38.692848929999997</v>
      </c>
      <c r="AC30" s="61">
        <v>47.755843511999998</v>
      </c>
      <c r="AE30" s="323">
        <v>9.2573804879154267</v>
      </c>
      <c r="AF30" s="323">
        <v>30.143366648137871</v>
      </c>
      <c r="AG30" s="323">
        <v>42.961413412412817</v>
      </c>
      <c r="AH30" s="635">
        <v>2693.0999987026403</v>
      </c>
    </row>
    <row r="31" spans="1:34" ht="18" customHeight="1" x14ac:dyDescent="0.3">
      <c r="A31" s="41" t="s">
        <v>369</v>
      </c>
      <c r="B31" s="41" t="s">
        <v>484</v>
      </c>
      <c r="C31" s="146" t="s">
        <v>525</v>
      </c>
      <c r="D31" s="146" t="s">
        <v>526</v>
      </c>
      <c r="G31" s="310" t="s">
        <v>188</v>
      </c>
      <c r="N31" s="142"/>
      <c r="O31" s="142"/>
      <c r="P31" s="142"/>
      <c r="Q31" s="143"/>
      <c r="R31" s="143"/>
      <c r="S31" s="143"/>
      <c r="T31" s="144"/>
      <c r="U31" s="144"/>
      <c r="V31" s="144"/>
      <c r="W31" s="378"/>
      <c r="X31" s="378"/>
      <c r="Y31" s="378"/>
      <c r="Z31" s="639">
        <v>37.460295737000003</v>
      </c>
      <c r="AA31" s="639">
        <v>11.192689793</v>
      </c>
      <c r="AB31" s="639">
        <v>51.347014469999998</v>
      </c>
      <c r="AC31" s="61">
        <v>62.539704262999997</v>
      </c>
      <c r="AH31" s="635">
        <v>2018.99507955127</v>
      </c>
    </row>
    <row r="32" spans="1:34" ht="18" customHeight="1" x14ac:dyDescent="0.3">
      <c r="A32" s="41" t="s">
        <v>369</v>
      </c>
      <c r="B32" s="41" t="s">
        <v>484</v>
      </c>
      <c r="C32" s="146" t="s">
        <v>523</v>
      </c>
      <c r="D32" s="146" t="s">
        <v>524</v>
      </c>
      <c r="G32" s="310" t="s">
        <v>188</v>
      </c>
      <c r="N32" s="142"/>
      <c r="O32" s="142"/>
      <c r="P32" s="142"/>
      <c r="Q32" s="143"/>
      <c r="R32" s="143"/>
      <c r="S32" s="143"/>
      <c r="T32" s="144"/>
      <c r="U32" s="144"/>
      <c r="V32" s="144"/>
      <c r="W32" s="378"/>
      <c r="X32" s="378"/>
      <c r="Y32" s="378"/>
      <c r="Z32" s="639">
        <v>37.460295737000003</v>
      </c>
      <c r="AA32" s="639">
        <v>11.192689793</v>
      </c>
      <c r="AB32" s="639">
        <v>51.347014469999998</v>
      </c>
      <c r="AC32" s="61">
        <v>62.539704262999997</v>
      </c>
      <c r="AH32" s="635">
        <v>2018.99507955127</v>
      </c>
    </row>
    <row r="33" spans="1:56" ht="18" customHeight="1" x14ac:dyDescent="0.3">
      <c r="A33" s="41" t="s">
        <v>369</v>
      </c>
      <c r="B33" s="41" t="s">
        <v>373</v>
      </c>
      <c r="C33" s="146" t="s">
        <v>521</v>
      </c>
      <c r="D33" s="146" t="s">
        <v>522</v>
      </c>
      <c r="G33" s="310" t="s">
        <v>188</v>
      </c>
      <c r="N33" s="142"/>
      <c r="O33" s="142"/>
      <c r="P33" s="142"/>
      <c r="Q33" s="143"/>
      <c r="R33" s="143"/>
      <c r="S33" s="143"/>
      <c r="T33" s="144"/>
      <c r="U33" s="144"/>
      <c r="V33" s="144"/>
      <c r="W33" s="378"/>
      <c r="X33" s="378"/>
      <c r="Y33" s="378"/>
      <c r="Z33" s="639">
        <v>37.460295737000003</v>
      </c>
      <c r="AA33" s="639">
        <v>11.192689793</v>
      </c>
      <c r="AB33" s="639">
        <v>51.347014469999998</v>
      </c>
      <c r="AC33" s="61">
        <v>62.539704262999997</v>
      </c>
      <c r="AH33" s="635">
        <v>2018.99507955127</v>
      </c>
    </row>
    <row r="34" spans="1:56" ht="18" customHeight="1" x14ac:dyDescent="0.3">
      <c r="A34" s="41" t="s">
        <v>369</v>
      </c>
      <c r="B34" s="41" t="s">
        <v>373</v>
      </c>
      <c r="C34" s="146" t="s">
        <v>519</v>
      </c>
      <c r="D34" s="146" t="s">
        <v>520</v>
      </c>
      <c r="G34" s="310" t="s">
        <v>188</v>
      </c>
      <c r="N34" s="142"/>
      <c r="O34" s="142"/>
      <c r="P34" s="142"/>
      <c r="Q34" s="143"/>
      <c r="R34" s="143"/>
      <c r="S34" s="143"/>
      <c r="T34" s="144"/>
      <c r="U34" s="144"/>
      <c r="V34" s="144"/>
      <c r="W34" s="378"/>
      <c r="X34" s="378"/>
      <c r="Y34" s="378"/>
      <c r="Z34" s="639">
        <v>37.460295737000003</v>
      </c>
      <c r="AA34" s="639">
        <v>11.192689793</v>
      </c>
      <c r="AB34" s="639">
        <v>51.347014469999998</v>
      </c>
      <c r="AC34" s="61">
        <v>62.539704262999997</v>
      </c>
      <c r="AH34" s="635">
        <v>2018.99507955127</v>
      </c>
    </row>
    <row r="35" spans="1:56" ht="18" customHeight="1" x14ac:dyDescent="0.3">
      <c r="A35" s="41" t="s">
        <v>369</v>
      </c>
      <c r="B35" s="41" t="s">
        <v>484</v>
      </c>
      <c r="C35" s="146" t="s">
        <v>517</v>
      </c>
      <c r="D35" s="146" t="s">
        <v>518</v>
      </c>
      <c r="G35" s="310" t="s">
        <v>188</v>
      </c>
      <c r="N35" s="142"/>
      <c r="O35" s="142"/>
      <c r="P35" s="142"/>
      <c r="Q35" s="143"/>
      <c r="R35" s="143"/>
      <c r="S35" s="143"/>
      <c r="T35" s="144"/>
      <c r="U35" s="144"/>
      <c r="V35" s="144"/>
      <c r="W35" s="378"/>
      <c r="X35" s="378"/>
      <c r="Y35" s="378"/>
      <c r="Z35" s="639">
        <v>37.460295737000003</v>
      </c>
      <c r="AA35" s="639">
        <v>11.192689793</v>
      </c>
      <c r="AB35" s="639">
        <v>51.347014469999998</v>
      </c>
      <c r="AC35" s="61">
        <v>62.539704262999997</v>
      </c>
      <c r="AH35" s="635">
        <v>2018.99507955127</v>
      </c>
    </row>
    <row r="36" spans="1:56" ht="18" customHeight="1" x14ac:dyDescent="0.3">
      <c r="A36" s="41" t="s">
        <v>369</v>
      </c>
      <c r="B36" s="41" t="s">
        <v>445</v>
      </c>
      <c r="C36" s="146" t="s">
        <v>446</v>
      </c>
      <c r="D36" s="146" t="s">
        <v>447</v>
      </c>
      <c r="F36" s="310" t="s">
        <v>188</v>
      </c>
      <c r="G36" s="310" t="s">
        <v>188</v>
      </c>
      <c r="N36" s="142"/>
      <c r="O36" s="142"/>
      <c r="P36" s="142"/>
      <c r="Q36" s="143"/>
      <c r="R36" s="143"/>
      <c r="S36" s="143"/>
      <c r="T36" s="144"/>
      <c r="U36" s="144"/>
      <c r="V36" s="144"/>
      <c r="W36" s="378"/>
      <c r="X36" s="378"/>
      <c r="Y36" s="378"/>
      <c r="Z36" s="639">
        <v>75.648653687307444</v>
      </c>
      <c r="AA36" s="639">
        <v>14.382921197113269</v>
      </c>
      <c r="AB36" s="639">
        <v>9.9684251155792971</v>
      </c>
      <c r="AC36" s="61">
        <v>24.351346312692566</v>
      </c>
      <c r="AH36" s="635">
        <v>275235.30925112905</v>
      </c>
    </row>
    <row r="37" spans="1:56" ht="18" customHeight="1" x14ac:dyDescent="0.3">
      <c r="A37" s="86" t="s">
        <v>369</v>
      </c>
      <c r="B37" s="86" t="s">
        <v>442</v>
      </c>
      <c r="C37" s="147" t="s">
        <v>443</v>
      </c>
      <c r="D37" s="147" t="s">
        <v>444</v>
      </c>
      <c r="F37" s="319"/>
      <c r="G37" s="319" t="s">
        <v>188</v>
      </c>
      <c r="H37" s="297"/>
      <c r="I37" s="297"/>
      <c r="J37" s="297"/>
      <c r="K37" s="351"/>
      <c r="L37" s="351"/>
      <c r="M37" s="351"/>
      <c r="N37" s="142"/>
      <c r="O37" s="142"/>
      <c r="P37" s="142"/>
      <c r="Q37" s="143"/>
      <c r="R37" s="143"/>
      <c r="S37" s="143"/>
      <c r="T37" s="144"/>
      <c r="U37" s="144"/>
      <c r="V37" s="144"/>
      <c r="W37" s="378"/>
      <c r="X37" s="378"/>
      <c r="Y37" s="378"/>
      <c r="Z37" s="639">
        <v>83.882415751124057</v>
      </c>
      <c r="AA37" s="639">
        <v>11.300850122026468</v>
      </c>
      <c r="AB37" s="639">
        <v>4.816734126849469</v>
      </c>
      <c r="AC37" s="61">
        <v>16.117584248875936</v>
      </c>
      <c r="AH37" s="635">
        <v>154618.97932282902</v>
      </c>
    </row>
    <row r="38" spans="1:56" ht="18" customHeight="1" x14ac:dyDescent="0.3">
      <c r="A38" s="41" t="s">
        <v>369</v>
      </c>
      <c r="B38" s="41" t="s">
        <v>487</v>
      </c>
      <c r="C38" s="146" t="s">
        <v>488</v>
      </c>
      <c r="D38" s="146" t="s">
        <v>489</v>
      </c>
      <c r="G38" s="310" t="s">
        <v>188</v>
      </c>
      <c r="N38" s="142"/>
      <c r="O38" s="142"/>
      <c r="P38" s="142"/>
      <c r="Q38" s="143"/>
      <c r="R38" s="143"/>
      <c r="S38" s="143"/>
      <c r="T38" s="144"/>
      <c r="U38" s="144"/>
      <c r="V38" s="144"/>
      <c r="W38" s="378"/>
      <c r="X38" s="378"/>
      <c r="Y38" s="378"/>
      <c r="Z38" s="639">
        <v>52.578403379998647</v>
      </c>
      <c r="AA38" s="639">
        <v>32.883355924002046</v>
      </c>
      <c r="AB38" s="639">
        <v>14.538240695999303</v>
      </c>
      <c r="AC38" s="61">
        <v>47.421596620001353</v>
      </c>
      <c r="AH38" s="635">
        <v>34435.1901260054</v>
      </c>
    </row>
    <row r="39" spans="1:56" ht="18" customHeight="1" x14ac:dyDescent="0.3">
      <c r="A39" s="41" t="s">
        <v>369</v>
      </c>
      <c r="B39" s="41" t="s">
        <v>439</v>
      </c>
      <c r="C39" s="146" t="s">
        <v>440</v>
      </c>
      <c r="D39" s="146" t="s">
        <v>441</v>
      </c>
      <c r="F39" s="310" t="s">
        <v>188</v>
      </c>
      <c r="G39" s="310" t="s">
        <v>188</v>
      </c>
      <c r="N39" s="142"/>
      <c r="O39" s="142"/>
      <c r="P39" s="142"/>
      <c r="Q39" s="143"/>
      <c r="R39" s="143"/>
      <c r="S39" s="143"/>
      <c r="T39" s="144"/>
      <c r="U39" s="144"/>
      <c r="V39" s="144"/>
      <c r="W39" s="378"/>
      <c r="X39" s="378"/>
      <c r="Y39" s="378"/>
      <c r="Z39" s="639">
        <v>88.011284008678231</v>
      </c>
      <c r="AA39" s="639">
        <v>7.2274828376970719</v>
      </c>
      <c r="AB39" s="639">
        <v>4.7612331536247066</v>
      </c>
      <c r="AC39" s="61">
        <v>11.988715991321779</v>
      </c>
      <c r="AH39" s="635">
        <v>542438.92570927693</v>
      </c>
    </row>
    <row r="40" spans="1:56" ht="18" customHeight="1" x14ac:dyDescent="0.3">
      <c r="A40" s="41" t="s">
        <v>369</v>
      </c>
      <c r="B40" s="41" t="s">
        <v>484</v>
      </c>
      <c r="C40" s="146" t="s">
        <v>485</v>
      </c>
      <c r="D40" s="146" t="s">
        <v>486</v>
      </c>
      <c r="G40" s="310" t="s">
        <v>188</v>
      </c>
      <c r="N40" s="142"/>
      <c r="O40" s="142"/>
      <c r="P40" s="142"/>
      <c r="Q40" s="143"/>
      <c r="R40" s="143"/>
      <c r="S40" s="143"/>
      <c r="T40" s="144"/>
      <c r="U40" s="144"/>
      <c r="V40" s="144"/>
      <c r="W40" s="378"/>
      <c r="X40" s="378"/>
      <c r="Y40" s="378"/>
      <c r="Z40" s="639">
        <v>50.1449106894095</v>
      </c>
      <c r="AA40" s="639">
        <v>29.558336620395337</v>
      </c>
      <c r="AB40" s="639">
        <v>20.296752690195166</v>
      </c>
      <c r="AC40" s="61">
        <v>49.8550893105905</v>
      </c>
      <c r="AH40" s="635">
        <v>98973.266225407191</v>
      </c>
    </row>
    <row r="41" spans="1:56" ht="18" customHeight="1" x14ac:dyDescent="0.3">
      <c r="A41" s="86" t="s">
        <v>369</v>
      </c>
      <c r="B41" s="86" t="s">
        <v>413</v>
      </c>
      <c r="C41" s="147" t="s">
        <v>414</v>
      </c>
      <c r="D41" s="146" t="s">
        <v>415</v>
      </c>
      <c r="E41" s="309" t="s">
        <v>416</v>
      </c>
      <c r="F41" s="319" t="s">
        <v>187</v>
      </c>
      <c r="G41" s="319" t="s">
        <v>187</v>
      </c>
      <c r="H41" s="140"/>
      <c r="I41" s="140"/>
      <c r="J41" s="140"/>
      <c r="K41" s="141"/>
      <c r="L41" s="141"/>
      <c r="M41" s="141"/>
      <c r="N41" s="142"/>
      <c r="O41" s="142"/>
      <c r="P41" s="142"/>
      <c r="Q41" s="143"/>
      <c r="R41" s="143"/>
      <c r="S41" s="143"/>
      <c r="T41" s="144"/>
      <c r="U41" s="144"/>
      <c r="V41" s="144"/>
      <c r="W41" s="378"/>
      <c r="X41" s="378"/>
      <c r="Y41" s="378"/>
      <c r="Z41" s="639">
        <v>82.057023363310606</v>
      </c>
      <c r="AA41" s="639">
        <v>10.585018434113055</v>
      </c>
      <c r="AB41" s="639">
        <v>7.3579582025763406</v>
      </c>
      <c r="AC41" s="61">
        <v>17.942976636689394</v>
      </c>
      <c r="AH41" s="635">
        <v>374026.52768912097</v>
      </c>
    </row>
    <row r="42" spans="1:56" ht="18" customHeight="1" x14ac:dyDescent="0.3">
      <c r="A42" s="86" t="s">
        <v>369</v>
      </c>
      <c r="B42" s="86" t="s">
        <v>481</v>
      </c>
      <c r="C42" s="147" t="s">
        <v>482</v>
      </c>
      <c r="D42" s="147" t="s">
        <v>483</v>
      </c>
      <c r="F42" s="319" t="s">
        <v>188</v>
      </c>
      <c r="G42" s="319" t="s">
        <v>188</v>
      </c>
      <c r="H42" s="297"/>
      <c r="I42" s="297"/>
      <c r="J42" s="297"/>
      <c r="K42" s="351"/>
      <c r="L42" s="351"/>
      <c r="M42" s="351"/>
      <c r="N42" s="142"/>
      <c r="O42" s="142"/>
      <c r="P42" s="142"/>
      <c r="Q42" s="143"/>
      <c r="R42" s="143"/>
      <c r="S42" s="143"/>
      <c r="T42" s="144"/>
      <c r="U42" s="144"/>
      <c r="V42" s="144"/>
      <c r="W42" s="378"/>
      <c r="X42" s="378"/>
      <c r="Y42" s="378"/>
      <c r="Z42" s="639">
        <v>63.370221260943616</v>
      </c>
      <c r="AA42" s="639">
        <v>21.606902451796206</v>
      </c>
      <c r="AB42" s="639">
        <v>15.022876287260184</v>
      </c>
      <c r="AC42" s="61">
        <v>36.629778739056391</v>
      </c>
      <c r="AH42" s="635">
        <v>166271.262632856</v>
      </c>
    </row>
    <row r="43" spans="1:56" ht="18" customHeight="1" x14ac:dyDescent="0.3">
      <c r="A43" s="41" t="s">
        <v>369</v>
      </c>
      <c r="B43" s="41" t="s">
        <v>373</v>
      </c>
      <c r="C43" s="146" t="s">
        <v>515</v>
      </c>
      <c r="D43" s="146" t="s">
        <v>516</v>
      </c>
      <c r="G43" s="310" t="s">
        <v>188</v>
      </c>
      <c r="N43" s="142"/>
      <c r="O43" s="142"/>
      <c r="P43" s="142"/>
      <c r="Q43" s="143"/>
      <c r="R43" s="143"/>
      <c r="S43" s="143"/>
      <c r="T43" s="144"/>
      <c r="U43" s="144"/>
      <c r="V43" s="144"/>
      <c r="W43" s="378"/>
      <c r="X43" s="378"/>
      <c r="Y43" s="378"/>
      <c r="Z43" s="639">
        <v>37.460295737000003</v>
      </c>
      <c r="AA43" s="639">
        <v>11.192689793</v>
      </c>
      <c r="AB43" s="639">
        <v>51.347014469999998</v>
      </c>
      <c r="AC43" s="61">
        <v>62.539704262999997</v>
      </c>
      <c r="AH43" s="635">
        <v>2018.99507955127</v>
      </c>
    </row>
    <row r="44" spans="1:56" ht="18" customHeight="1" x14ac:dyDescent="0.3">
      <c r="A44" s="41" t="s">
        <v>369</v>
      </c>
      <c r="B44" s="41" t="s">
        <v>373</v>
      </c>
      <c r="C44" s="146" t="s">
        <v>479</v>
      </c>
      <c r="D44" s="146" t="s">
        <v>480</v>
      </c>
      <c r="G44" s="310" t="s">
        <v>188</v>
      </c>
      <c r="N44" s="142"/>
      <c r="O44" s="142"/>
      <c r="P44" s="142"/>
      <c r="Q44" s="143"/>
      <c r="R44" s="143"/>
      <c r="S44" s="143"/>
      <c r="T44" s="144"/>
      <c r="U44" s="144"/>
      <c r="V44" s="144"/>
      <c r="W44" s="378"/>
      <c r="X44" s="378"/>
      <c r="Y44" s="378"/>
      <c r="Z44" s="639">
        <v>57.156820546388396</v>
      </c>
      <c r="AA44" s="639">
        <v>22.121793713247509</v>
      </c>
      <c r="AB44" s="639">
        <v>20.721385740364092</v>
      </c>
      <c r="AC44" s="61">
        <v>42.843179453611597</v>
      </c>
      <c r="AH44" s="635">
        <v>30830.833522441899</v>
      </c>
    </row>
    <row r="45" spans="1:56" ht="18" customHeight="1" x14ac:dyDescent="0.3">
      <c r="A45" s="54" t="s">
        <v>369</v>
      </c>
      <c r="B45" s="54" t="s">
        <v>373</v>
      </c>
      <c r="C45" s="54" t="s">
        <v>477</v>
      </c>
      <c r="D45" s="54" t="s">
        <v>478</v>
      </c>
      <c r="G45" s="310" t="s">
        <v>188</v>
      </c>
      <c r="N45" s="142"/>
      <c r="O45" s="142"/>
      <c r="P45" s="142"/>
      <c r="Q45" s="143"/>
      <c r="R45" s="143"/>
      <c r="S45" s="143"/>
      <c r="T45" s="144"/>
      <c r="U45" s="144"/>
      <c r="V45" s="144"/>
      <c r="W45" s="378"/>
      <c r="X45" s="378"/>
      <c r="Y45" s="378"/>
      <c r="Z45" s="639">
        <v>52.171492361400638</v>
      </c>
      <c r="AA45" s="639">
        <v>25.268028347953052</v>
      </c>
      <c r="AB45" s="639">
        <v>22.56047929064631</v>
      </c>
      <c r="AC45" s="61">
        <v>47.828507638599362</v>
      </c>
      <c r="AH45" s="635">
        <v>58190.823446808601</v>
      </c>
    </row>
    <row r="46" spans="1:56" ht="18" customHeight="1" x14ac:dyDescent="0.3">
      <c r="A46" s="41" t="s">
        <v>369</v>
      </c>
      <c r="B46" s="41" t="s">
        <v>474</v>
      </c>
      <c r="C46" s="146" t="s">
        <v>475</v>
      </c>
      <c r="D46" s="146" t="s">
        <v>476</v>
      </c>
      <c r="F46" s="310" t="s">
        <v>188</v>
      </c>
      <c r="G46" s="310" t="s">
        <v>188</v>
      </c>
      <c r="Z46" s="639">
        <v>60.471827432348576</v>
      </c>
      <c r="AA46" s="639">
        <v>26.82670385927381</v>
      </c>
      <c r="AB46" s="639">
        <v>12.701468708377616</v>
      </c>
      <c r="AC46" s="61">
        <v>39.528172567651424</v>
      </c>
      <c r="AH46" s="635">
        <v>51029.918760063003</v>
      </c>
    </row>
    <row r="47" spans="1:56" s="440" customFormat="1" ht="18" customHeight="1" x14ac:dyDescent="0.3">
      <c r="A47" s="41" t="s">
        <v>369</v>
      </c>
      <c r="B47" s="41" t="s">
        <v>453</v>
      </c>
      <c r="C47" s="146" t="s">
        <v>513</v>
      </c>
      <c r="D47" s="146" t="s">
        <v>514</v>
      </c>
      <c r="E47" s="309"/>
      <c r="F47" s="310" t="s">
        <v>188</v>
      </c>
      <c r="G47" s="310" t="s">
        <v>188</v>
      </c>
      <c r="H47" s="54"/>
      <c r="I47" s="54"/>
      <c r="J47" s="54"/>
      <c r="K47" s="350"/>
      <c r="L47" s="350"/>
      <c r="M47" s="350"/>
      <c r="N47" s="290"/>
      <c r="O47" s="290"/>
      <c r="P47" s="290"/>
      <c r="Q47" s="60"/>
      <c r="R47" s="60"/>
      <c r="S47" s="60"/>
      <c r="T47" s="59"/>
      <c r="U47" s="59"/>
      <c r="V47" s="59"/>
      <c r="W47" s="379"/>
      <c r="X47" s="379"/>
      <c r="Y47" s="379"/>
      <c r="Z47" s="639">
        <v>37.460295737000003</v>
      </c>
      <c r="AA47" s="639">
        <v>11.192689793</v>
      </c>
      <c r="AB47" s="639">
        <v>51.347014469999998</v>
      </c>
      <c r="AC47" s="61">
        <v>62.539704262999997</v>
      </c>
      <c r="AD47" s="41"/>
      <c r="AE47" s="323"/>
      <c r="AF47" s="323"/>
      <c r="AG47" s="323"/>
      <c r="AH47" s="635">
        <v>2018.99507955127</v>
      </c>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row>
    <row r="48" spans="1:56" ht="18" customHeight="1" x14ac:dyDescent="0.3">
      <c r="A48" s="41" t="s">
        <v>369</v>
      </c>
      <c r="B48" s="41" t="s">
        <v>373</v>
      </c>
      <c r="C48" s="146" t="s">
        <v>472</v>
      </c>
      <c r="D48" s="146" t="s">
        <v>473</v>
      </c>
      <c r="F48" s="310" t="s">
        <v>188</v>
      </c>
      <c r="G48" s="310" t="s">
        <v>188</v>
      </c>
      <c r="Z48" s="639">
        <v>50.94182403837074</v>
      </c>
      <c r="AA48" s="639">
        <v>28.815262135201802</v>
      </c>
      <c r="AB48" s="639">
        <v>20.242913826427458</v>
      </c>
      <c r="AC48" s="61">
        <v>49.05817596162926</v>
      </c>
      <c r="AH48" s="635">
        <v>107632.33052945501</v>
      </c>
    </row>
    <row r="49" spans="1:34" ht="18" customHeight="1" x14ac:dyDescent="0.3">
      <c r="A49" s="41" t="s">
        <v>369</v>
      </c>
      <c r="B49" s="41" t="s">
        <v>373</v>
      </c>
      <c r="C49" s="146" t="s">
        <v>437</v>
      </c>
      <c r="D49" s="146" t="s">
        <v>438</v>
      </c>
      <c r="G49" s="310" t="s">
        <v>188</v>
      </c>
      <c r="Z49" s="639">
        <v>76.158793315007586</v>
      </c>
      <c r="AA49" s="639">
        <v>14.305649635910392</v>
      </c>
      <c r="AB49" s="639">
        <v>9.5355570490820369</v>
      </c>
      <c r="AC49" s="61">
        <v>23.841206684992429</v>
      </c>
      <c r="AH49" s="635">
        <v>247509.22542619001</v>
      </c>
    </row>
    <row r="50" spans="1:34" ht="18" customHeight="1" x14ac:dyDescent="0.3">
      <c r="A50" s="41" t="s">
        <v>369</v>
      </c>
      <c r="B50" s="41" t="s">
        <v>373</v>
      </c>
      <c r="C50" s="146" t="s">
        <v>511</v>
      </c>
      <c r="D50" s="146" t="s">
        <v>512</v>
      </c>
      <c r="G50" s="310" t="s">
        <v>188</v>
      </c>
      <c r="Z50" s="639">
        <v>37.460295737000003</v>
      </c>
      <c r="AA50" s="639">
        <v>11.192689793</v>
      </c>
      <c r="AB50" s="639">
        <v>51.347014469999998</v>
      </c>
      <c r="AC50" s="61">
        <v>62.539704262999997</v>
      </c>
      <c r="AH50" s="635">
        <v>2018.99507955127</v>
      </c>
    </row>
    <row r="51" spans="1:34" ht="19.2" customHeight="1" x14ac:dyDescent="0.3">
      <c r="A51" s="298" t="s">
        <v>369</v>
      </c>
      <c r="B51" s="298" t="s">
        <v>379</v>
      </c>
      <c r="C51" s="298" t="s">
        <v>380</v>
      </c>
      <c r="D51" s="298" t="s">
        <v>412</v>
      </c>
      <c r="E51" s="309" t="s">
        <v>383</v>
      </c>
      <c r="G51" s="310" t="s">
        <v>188</v>
      </c>
      <c r="H51" s="140"/>
      <c r="I51" s="140"/>
      <c r="J51" s="140"/>
      <c r="K51" s="141"/>
      <c r="L51" s="141"/>
      <c r="M51" s="141"/>
      <c r="N51" s="142"/>
      <c r="O51" s="142"/>
      <c r="P51" s="142"/>
      <c r="Q51" s="143"/>
      <c r="R51" s="143"/>
      <c r="S51" s="143"/>
      <c r="T51" s="144"/>
      <c r="U51" s="144"/>
      <c r="V51" s="144"/>
      <c r="W51" s="378"/>
      <c r="X51" s="378"/>
      <c r="Y51" s="378"/>
      <c r="Z51" s="639">
        <v>81.38132101995501</v>
      </c>
      <c r="AA51" s="639">
        <v>11.020733964282742</v>
      </c>
      <c r="AB51" s="639">
        <v>7.5979450157622512</v>
      </c>
      <c r="AC51" s="61">
        <v>18.618678980044994</v>
      </c>
      <c r="AH51" s="635">
        <v>295629.93066122103</v>
      </c>
    </row>
    <row r="52" spans="1:34" ht="19.2" customHeight="1" x14ac:dyDescent="0.3">
      <c r="A52" s="41" t="s">
        <v>369</v>
      </c>
      <c r="B52" s="41" t="s">
        <v>379</v>
      </c>
      <c r="C52" s="146" t="s">
        <v>409</v>
      </c>
      <c r="D52" s="146" t="s">
        <v>411</v>
      </c>
      <c r="E52" s="309" t="s">
        <v>383</v>
      </c>
      <c r="F52" s="310" t="s">
        <v>188</v>
      </c>
      <c r="G52" s="310" t="s">
        <v>188</v>
      </c>
      <c r="H52" s="140"/>
      <c r="I52" s="140"/>
      <c r="J52" s="140"/>
      <c r="K52" s="141"/>
      <c r="L52" s="141"/>
      <c r="M52" s="141"/>
      <c r="N52" s="142"/>
      <c r="O52" s="142"/>
      <c r="P52" s="142"/>
      <c r="Q52" s="143"/>
      <c r="R52" s="143"/>
      <c r="S52" s="143"/>
      <c r="T52" s="144"/>
      <c r="U52" s="144"/>
      <c r="V52" s="144"/>
      <c r="W52" s="378"/>
      <c r="X52" s="378"/>
      <c r="Y52" s="378"/>
      <c r="Z52" s="639">
        <v>72.12175968882508</v>
      </c>
      <c r="AA52" s="639">
        <v>16.337623555769074</v>
      </c>
      <c r="AB52" s="639">
        <v>11.540616755405846</v>
      </c>
      <c r="AC52" s="61">
        <v>27.87824031117492</v>
      </c>
      <c r="AH52" s="635">
        <v>236582.33243989601</v>
      </c>
    </row>
    <row r="53" spans="1:34" ht="19.2" customHeight="1" x14ac:dyDescent="0.3">
      <c r="A53" s="298" t="s">
        <v>369</v>
      </c>
      <c r="B53" s="298" t="s">
        <v>379</v>
      </c>
      <c r="C53" s="298" t="s">
        <v>409</v>
      </c>
      <c r="D53" s="298" t="s">
        <v>410</v>
      </c>
      <c r="E53" s="309" t="s">
        <v>383</v>
      </c>
      <c r="G53" s="310" t="s">
        <v>188</v>
      </c>
      <c r="H53" s="140"/>
      <c r="I53" s="140"/>
      <c r="J53" s="140"/>
      <c r="K53" s="141"/>
      <c r="L53" s="141"/>
      <c r="M53" s="141"/>
      <c r="N53" s="142"/>
      <c r="O53" s="142"/>
      <c r="P53" s="142"/>
      <c r="Q53" s="143"/>
      <c r="R53" s="143"/>
      <c r="S53" s="143"/>
      <c r="T53" s="144"/>
      <c r="U53" s="144"/>
      <c r="V53" s="144"/>
      <c r="W53" s="378"/>
      <c r="X53" s="378"/>
      <c r="Y53" s="378"/>
      <c r="Z53" s="639">
        <v>74.673070367848013</v>
      </c>
      <c r="AA53" s="639">
        <v>14.809823960946749</v>
      </c>
      <c r="AB53" s="639">
        <v>10.517105671205245</v>
      </c>
      <c r="AC53" s="61">
        <v>25.326929632151995</v>
      </c>
      <c r="AH53" s="635">
        <v>217888.945497829</v>
      </c>
    </row>
    <row r="54" spans="1:34" ht="19.2" customHeight="1" x14ac:dyDescent="0.3">
      <c r="A54" s="41" t="s">
        <v>369</v>
      </c>
      <c r="B54" s="41" t="s">
        <v>379</v>
      </c>
      <c r="C54" s="146" t="s">
        <v>435</v>
      </c>
      <c r="D54" s="146" t="s">
        <v>436</v>
      </c>
      <c r="G54" s="310" t="s">
        <v>188</v>
      </c>
      <c r="Z54" s="639">
        <v>71.515819630399577</v>
      </c>
      <c r="AA54" s="639">
        <v>16.624946993520236</v>
      </c>
      <c r="AB54" s="639">
        <v>11.859233376080178</v>
      </c>
      <c r="AC54" s="61">
        <v>28.484180369600416</v>
      </c>
      <c r="AH54" s="635">
        <v>227586.35156900602</v>
      </c>
    </row>
    <row r="55" spans="1:34" ht="19.2" customHeight="1" x14ac:dyDescent="0.3">
      <c r="A55" s="41" t="s">
        <v>369</v>
      </c>
      <c r="B55" s="41" t="s">
        <v>373</v>
      </c>
      <c r="C55" s="146" t="s">
        <v>509</v>
      </c>
      <c r="D55" s="146" t="s">
        <v>510</v>
      </c>
      <c r="G55" s="310" t="s">
        <v>188</v>
      </c>
      <c r="Z55" s="639">
        <v>37.460295737000003</v>
      </c>
      <c r="AA55" s="639">
        <v>11.192689793</v>
      </c>
      <c r="AB55" s="639">
        <v>51.347014469999998</v>
      </c>
      <c r="AC55" s="61">
        <v>62.539704262999997</v>
      </c>
      <c r="AH55" s="635">
        <v>2018.99507955127</v>
      </c>
    </row>
    <row r="56" spans="1:34" ht="19.2" customHeight="1" x14ac:dyDescent="0.3">
      <c r="A56" s="86" t="s">
        <v>369</v>
      </c>
      <c r="B56" s="86" t="s">
        <v>469</v>
      </c>
      <c r="C56" s="147" t="s">
        <v>470</v>
      </c>
      <c r="D56" s="147" t="s">
        <v>471</v>
      </c>
      <c r="F56" s="319" t="s">
        <v>188</v>
      </c>
      <c r="G56" s="319" t="s">
        <v>188</v>
      </c>
      <c r="H56" s="297"/>
      <c r="I56" s="297"/>
      <c r="J56" s="297"/>
      <c r="K56" s="351"/>
      <c r="L56" s="351"/>
      <c r="M56" s="351"/>
      <c r="Z56" s="639">
        <v>67.87570253407938</v>
      </c>
      <c r="AA56" s="639">
        <v>18.66602076881555</v>
      </c>
      <c r="AB56" s="639">
        <v>13.458276697105076</v>
      </c>
      <c r="AC56" s="61">
        <v>32.124297465920627</v>
      </c>
      <c r="AH56" s="635">
        <v>200962.85539564898</v>
      </c>
    </row>
    <row r="57" spans="1:34" ht="19.2" customHeight="1" x14ac:dyDescent="0.3">
      <c r="A57" s="41" t="s">
        <v>369</v>
      </c>
      <c r="B57" s="41" t="s">
        <v>466</v>
      </c>
      <c r="C57" s="146" t="s">
        <v>467</v>
      </c>
      <c r="D57" s="146" t="s">
        <v>468</v>
      </c>
      <c r="F57" s="310" t="s">
        <v>188</v>
      </c>
      <c r="G57" s="310" t="s">
        <v>188</v>
      </c>
      <c r="Z57" s="639">
        <v>59.127997742947166</v>
      </c>
      <c r="AA57" s="639">
        <v>27.915005256602583</v>
      </c>
      <c r="AB57" s="639">
        <v>12.956997000450249</v>
      </c>
      <c r="AC57" s="61">
        <v>40.872002257052834</v>
      </c>
      <c r="AH57" s="635">
        <v>41165.2430033247</v>
      </c>
    </row>
    <row r="58" spans="1:34" ht="19.2" customHeight="1" x14ac:dyDescent="0.3">
      <c r="A58" s="41" t="s">
        <v>369</v>
      </c>
      <c r="B58" s="41" t="s">
        <v>463</v>
      </c>
      <c r="C58" s="146" t="s">
        <v>464</v>
      </c>
      <c r="D58" s="146" t="s">
        <v>465</v>
      </c>
      <c r="G58" s="310" t="s">
        <v>188</v>
      </c>
      <c r="Z58" s="639">
        <v>51.673383280460001</v>
      </c>
      <c r="AA58" s="639">
        <v>33.494253485044979</v>
      </c>
      <c r="AB58" s="639">
        <v>14.83236323449502</v>
      </c>
      <c r="AC58" s="61">
        <v>48.326616719539999</v>
      </c>
      <c r="AH58" s="635">
        <v>24435.666158039599</v>
      </c>
    </row>
    <row r="59" spans="1:34" ht="19.2" customHeight="1" x14ac:dyDescent="0.3">
      <c r="A59" s="41" t="s">
        <v>369</v>
      </c>
      <c r="B59" s="41" t="s">
        <v>432</v>
      </c>
      <c r="C59" s="146" t="s">
        <v>433</v>
      </c>
      <c r="D59" s="146" t="s">
        <v>462</v>
      </c>
      <c r="F59" s="310" t="s">
        <v>188</v>
      </c>
      <c r="G59" s="310" t="s">
        <v>188</v>
      </c>
      <c r="Z59" s="639">
        <v>60.81070644597348</v>
      </c>
      <c r="AA59" s="639">
        <v>21.749226821375576</v>
      </c>
      <c r="AB59" s="639">
        <v>17.440066732650948</v>
      </c>
      <c r="AC59" s="61">
        <v>39.18929355402652</v>
      </c>
      <c r="AH59" s="635">
        <v>120502.133639205</v>
      </c>
    </row>
    <row r="60" spans="1:34" ht="19.2" customHeight="1" x14ac:dyDescent="0.3">
      <c r="A60" s="298" t="s">
        <v>369</v>
      </c>
      <c r="B60" s="298" t="s">
        <v>432</v>
      </c>
      <c r="C60" s="298" t="s">
        <v>433</v>
      </c>
      <c r="D60" s="298" t="s">
        <v>434</v>
      </c>
      <c r="G60" s="310" t="s">
        <v>188</v>
      </c>
      <c r="Z60" s="639">
        <v>74.742178732938541</v>
      </c>
      <c r="AA60" s="639">
        <v>14.917654194512783</v>
      </c>
      <c r="AB60" s="639">
        <v>10.340167072548685</v>
      </c>
      <c r="AC60" s="61">
        <v>25.257821267061466</v>
      </c>
      <c r="AH60" s="635">
        <v>265304.82727790304</v>
      </c>
    </row>
    <row r="61" spans="1:34" ht="19.2" customHeight="1" x14ac:dyDescent="0.3">
      <c r="A61" s="41" t="s">
        <v>369</v>
      </c>
      <c r="B61" s="41" t="s">
        <v>373</v>
      </c>
      <c r="C61" s="146" t="s">
        <v>507</v>
      </c>
      <c r="D61" s="146" t="s">
        <v>508</v>
      </c>
      <c r="G61" s="310" t="s">
        <v>188</v>
      </c>
      <c r="Z61" s="639">
        <v>37.460295737000003</v>
      </c>
      <c r="AA61" s="639">
        <v>11.192689793</v>
      </c>
      <c r="AB61" s="639">
        <v>51.347014469999998</v>
      </c>
      <c r="AC61" s="61">
        <v>62.539704262999997</v>
      </c>
      <c r="AH61" s="635">
        <v>2018.99507955127</v>
      </c>
    </row>
    <row r="62" spans="1:34" ht="19.2" customHeight="1" x14ac:dyDescent="0.3">
      <c r="A62" s="41" t="s">
        <v>369</v>
      </c>
      <c r="B62" s="41" t="s">
        <v>373</v>
      </c>
      <c r="C62" s="146" t="s">
        <v>505</v>
      </c>
      <c r="D62" s="149" t="s">
        <v>506</v>
      </c>
      <c r="F62" s="319"/>
      <c r="G62" s="319" t="s">
        <v>188</v>
      </c>
      <c r="H62" s="345"/>
      <c r="I62" s="345"/>
      <c r="J62" s="345"/>
      <c r="K62" s="352"/>
      <c r="L62" s="352"/>
      <c r="M62" s="352"/>
      <c r="Z62" s="639">
        <v>55.427601266000011</v>
      </c>
      <c r="AA62" s="639">
        <v>8.7689455249999995</v>
      </c>
      <c r="AB62" s="639">
        <v>35.803453208999997</v>
      </c>
      <c r="AC62" s="61">
        <v>44.572398733999997</v>
      </c>
      <c r="AH62" s="635">
        <v>2911.4699957272901</v>
      </c>
    </row>
    <row r="63" spans="1:34" ht="19.2" customHeight="1" x14ac:dyDescent="0.3">
      <c r="A63" s="86" t="s">
        <v>369</v>
      </c>
      <c r="B63" s="86" t="s">
        <v>386</v>
      </c>
      <c r="C63" s="147" t="s">
        <v>503</v>
      </c>
      <c r="D63" s="147" t="s">
        <v>504</v>
      </c>
      <c r="F63" s="319"/>
      <c r="G63" s="319" t="s">
        <v>188</v>
      </c>
      <c r="H63" s="297"/>
      <c r="I63" s="297"/>
      <c r="J63" s="297"/>
      <c r="K63" s="351"/>
      <c r="L63" s="351"/>
      <c r="M63" s="351"/>
      <c r="Z63" s="639">
        <v>37.460295737000003</v>
      </c>
      <c r="AA63" s="639">
        <v>11.192689793</v>
      </c>
      <c r="AB63" s="639">
        <v>51.347014469999998</v>
      </c>
      <c r="AC63" s="61">
        <v>62.539704262999997</v>
      </c>
      <c r="AH63" s="635">
        <v>2018.99507955127</v>
      </c>
    </row>
    <row r="64" spans="1:34" ht="19.2" customHeight="1" x14ac:dyDescent="0.3">
      <c r="A64" s="41" t="s">
        <v>369</v>
      </c>
      <c r="B64" s="41" t="s">
        <v>459</v>
      </c>
      <c r="C64" s="146" t="s">
        <v>460</v>
      </c>
      <c r="D64" s="146" t="s">
        <v>461</v>
      </c>
      <c r="G64" s="310" t="s">
        <v>188</v>
      </c>
      <c r="Z64" s="639">
        <v>63.150320077320544</v>
      </c>
      <c r="AA64" s="639">
        <v>21.478518369086153</v>
      </c>
      <c r="AB64" s="639">
        <v>15.371161553593307</v>
      </c>
      <c r="AC64" s="61">
        <v>36.849679922679456</v>
      </c>
      <c r="AH64" s="635">
        <v>174205.057444406</v>
      </c>
    </row>
    <row r="65" spans="1:34" ht="19.2" customHeight="1" x14ac:dyDescent="0.3">
      <c r="A65" s="86" t="s">
        <v>369</v>
      </c>
      <c r="B65" s="86" t="s">
        <v>456</v>
      </c>
      <c r="C65" s="147" t="s">
        <v>457</v>
      </c>
      <c r="D65" s="147" t="s">
        <v>458</v>
      </c>
      <c r="F65" s="319"/>
      <c r="G65" s="319" t="s">
        <v>188</v>
      </c>
      <c r="H65" s="297"/>
      <c r="I65" s="297"/>
      <c r="J65" s="297"/>
      <c r="K65" s="351"/>
      <c r="L65" s="351"/>
      <c r="M65" s="351"/>
      <c r="Z65" s="639">
        <v>59.702480575429561</v>
      </c>
      <c r="AA65" s="639">
        <v>23.427870994578356</v>
      </c>
      <c r="AB65" s="639">
        <v>16.869648429992083</v>
      </c>
      <c r="AC65" s="61">
        <v>40.297519424570439</v>
      </c>
      <c r="AH65" s="635">
        <v>160558.064448283</v>
      </c>
    </row>
    <row r="66" spans="1:34" ht="19.2" customHeight="1" x14ac:dyDescent="0.3">
      <c r="A66" s="41" t="s">
        <v>369</v>
      </c>
      <c r="B66" s="41" t="s">
        <v>405</v>
      </c>
      <c r="C66" s="146" t="s">
        <v>406</v>
      </c>
      <c r="D66" s="146" t="s">
        <v>408</v>
      </c>
      <c r="E66" s="309" t="s">
        <v>383</v>
      </c>
      <c r="F66" s="310" t="s">
        <v>188</v>
      </c>
      <c r="G66" s="310" t="s">
        <v>188</v>
      </c>
      <c r="Z66" s="639">
        <v>76.125163714986201</v>
      </c>
      <c r="AA66" s="639">
        <v>13.971024995528348</v>
      </c>
      <c r="AB66" s="639">
        <v>9.9038112894854446</v>
      </c>
      <c r="AC66" s="61">
        <v>23.874836285013792</v>
      </c>
      <c r="AH66" s="635">
        <v>273180.82137250697</v>
      </c>
    </row>
    <row r="67" spans="1:34" ht="19.2" customHeight="1" x14ac:dyDescent="0.3">
      <c r="A67" s="298" t="s">
        <v>369</v>
      </c>
      <c r="B67" s="298" t="s">
        <v>405</v>
      </c>
      <c r="C67" s="298" t="s">
        <v>406</v>
      </c>
      <c r="D67" s="298" t="s">
        <v>407</v>
      </c>
      <c r="E67" s="309" t="s">
        <v>383</v>
      </c>
      <c r="G67" s="310" t="s">
        <v>188</v>
      </c>
      <c r="Z67" s="639">
        <v>81.790085357443161</v>
      </c>
      <c r="AA67" s="639">
        <v>10.659894395590651</v>
      </c>
      <c r="AB67" s="639">
        <v>7.5500202469661799</v>
      </c>
      <c r="AC67" s="61">
        <v>18.209914642556832</v>
      </c>
      <c r="AH67" s="635">
        <v>359224.40599963703</v>
      </c>
    </row>
    <row r="68" spans="1:34" ht="19.2" customHeight="1" x14ac:dyDescent="0.3">
      <c r="A68" s="41" t="s">
        <v>369</v>
      </c>
      <c r="B68" s="41" t="s">
        <v>484</v>
      </c>
      <c r="C68" s="146" t="s">
        <v>501</v>
      </c>
      <c r="D68" s="146" t="s">
        <v>502</v>
      </c>
      <c r="G68" s="310" t="s">
        <v>188</v>
      </c>
      <c r="Z68" s="639">
        <v>37.460295737000003</v>
      </c>
      <c r="AA68" s="639">
        <v>11.192689793</v>
      </c>
      <c r="AB68" s="639">
        <v>51.347014469999998</v>
      </c>
      <c r="AC68" s="61">
        <v>62.539704262999997</v>
      </c>
      <c r="AH68" s="635">
        <v>2018.99507955127</v>
      </c>
    </row>
    <row r="69" spans="1:34" ht="19.2" customHeight="1" x14ac:dyDescent="0.3">
      <c r="A69" s="54" t="s">
        <v>369</v>
      </c>
      <c r="B69" s="54" t="s">
        <v>453</v>
      </c>
      <c r="C69" s="54" t="s">
        <v>454</v>
      </c>
      <c r="D69" s="54" t="s">
        <v>455</v>
      </c>
      <c r="G69" s="310" t="s">
        <v>188</v>
      </c>
      <c r="Z69" s="639">
        <v>51.933753583752868</v>
      </c>
      <c r="AA69" s="639">
        <v>28.813546432435089</v>
      </c>
      <c r="AB69" s="639">
        <v>19.252699983812043</v>
      </c>
      <c r="AC69" s="61">
        <v>48.066246416247132</v>
      </c>
      <c r="AH69" s="635">
        <v>55280.630229534894</v>
      </c>
    </row>
    <row r="70" spans="1:34" ht="19.2" customHeight="1" x14ac:dyDescent="0.3">
      <c r="A70" s="41" t="s">
        <v>369</v>
      </c>
      <c r="B70" s="41" t="s">
        <v>497</v>
      </c>
      <c r="C70" s="146" t="s">
        <v>498</v>
      </c>
      <c r="D70" s="146" t="s">
        <v>499</v>
      </c>
      <c r="G70" s="310" t="s">
        <v>188</v>
      </c>
      <c r="Z70" s="639">
        <v>37.460295737000003</v>
      </c>
      <c r="AA70" s="639">
        <v>11.192689793</v>
      </c>
      <c r="AB70" s="639">
        <v>51.347014469999998</v>
      </c>
      <c r="AC70" s="61">
        <v>62.539704262999997</v>
      </c>
      <c r="AH70" s="635">
        <v>2018.99507955127</v>
      </c>
    </row>
    <row r="71" spans="1:34" ht="19.2" customHeight="1" x14ac:dyDescent="0.3">
      <c r="A71" s="41" t="s">
        <v>369</v>
      </c>
      <c r="B71" s="41" t="s">
        <v>379</v>
      </c>
      <c r="C71" s="146" t="s">
        <v>403</v>
      </c>
      <c r="D71" s="146" t="s">
        <v>404</v>
      </c>
      <c r="E71" s="309" t="s">
        <v>383</v>
      </c>
      <c r="F71" s="310" t="s">
        <v>188</v>
      </c>
      <c r="G71" s="310" t="s">
        <v>188</v>
      </c>
      <c r="H71" s="140"/>
      <c r="K71" s="141"/>
      <c r="N71" s="441"/>
      <c r="Z71" s="639">
        <v>89.32363464094658</v>
      </c>
      <c r="AA71" s="639">
        <v>7.3153207835549034</v>
      </c>
      <c r="AB71" s="639">
        <v>3.3610445754985077</v>
      </c>
      <c r="AC71" s="61">
        <v>10.676365359053412</v>
      </c>
      <c r="AH71" s="635">
        <v>172880.44527528901</v>
      </c>
    </row>
    <row r="72" spans="1:34" ht="19.2" customHeight="1" x14ac:dyDescent="0.3">
      <c r="A72" s="54" t="s">
        <v>369</v>
      </c>
      <c r="B72" s="54" t="s">
        <v>379</v>
      </c>
      <c r="C72" s="54" t="s">
        <v>400</v>
      </c>
      <c r="D72" s="54" t="s">
        <v>401</v>
      </c>
      <c r="E72" s="309" t="s">
        <v>383</v>
      </c>
      <c r="G72" s="310" t="s">
        <v>188</v>
      </c>
      <c r="Z72" s="639">
        <v>77.00663163891187</v>
      </c>
      <c r="AA72" s="639">
        <v>15.754787308113849</v>
      </c>
      <c r="AB72" s="639">
        <v>7.2385810529742782</v>
      </c>
      <c r="AC72" s="61">
        <v>22.993368361088127</v>
      </c>
      <c r="AH72" s="635">
        <v>80326.384282392813</v>
      </c>
    </row>
    <row r="73" spans="1:34" ht="19.2" customHeight="1" x14ac:dyDescent="0.3">
      <c r="A73" s="86" t="s">
        <v>369</v>
      </c>
      <c r="B73" s="86" t="s">
        <v>448</v>
      </c>
      <c r="C73" s="147" t="s">
        <v>451</v>
      </c>
      <c r="D73" s="147" t="s">
        <v>452</v>
      </c>
      <c r="F73" s="319"/>
      <c r="G73" s="319" t="s">
        <v>188</v>
      </c>
      <c r="H73" s="297"/>
      <c r="I73" s="297"/>
      <c r="J73" s="297"/>
      <c r="K73" s="351"/>
      <c r="L73" s="351"/>
      <c r="M73" s="351"/>
      <c r="Z73" s="639">
        <v>65.479818650511476</v>
      </c>
      <c r="AA73" s="639">
        <v>20.258366683253264</v>
      </c>
      <c r="AB73" s="639">
        <v>14.261814666235262</v>
      </c>
      <c r="AC73" s="61">
        <v>34.520181349488524</v>
      </c>
      <c r="AH73" s="635">
        <v>155810.319087663</v>
      </c>
    </row>
    <row r="74" spans="1:34" ht="19.2" customHeight="1" x14ac:dyDescent="0.3">
      <c r="A74" s="86" t="s">
        <v>369</v>
      </c>
      <c r="B74" s="86" t="s">
        <v>448</v>
      </c>
      <c r="C74" s="147" t="s">
        <v>449</v>
      </c>
      <c r="D74" s="147" t="s">
        <v>450</v>
      </c>
      <c r="F74" s="319"/>
      <c r="G74" s="319" t="s">
        <v>188</v>
      </c>
      <c r="H74" s="297"/>
      <c r="I74" s="297"/>
      <c r="J74" s="297"/>
      <c r="K74" s="351"/>
      <c r="L74" s="351"/>
      <c r="M74" s="351"/>
      <c r="Z74" s="639">
        <v>54.183258440196944</v>
      </c>
      <c r="AA74" s="639">
        <v>26.990008056445593</v>
      </c>
      <c r="AB74" s="639">
        <v>18.826733503357467</v>
      </c>
      <c r="AC74" s="61">
        <v>45.816741559803063</v>
      </c>
      <c r="AH74" s="635">
        <v>118385.49168972501</v>
      </c>
    </row>
    <row r="75" spans="1:34" ht="18" customHeight="1" x14ac:dyDescent="0.3">
      <c r="A75" s="41" t="s">
        <v>88</v>
      </c>
      <c r="B75" s="41" t="s">
        <v>89</v>
      </c>
      <c r="C75" s="41" t="s">
        <v>90</v>
      </c>
      <c r="D75" s="64" t="s">
        <v>91</v>
      </c>
      <c r="E75" s="323"/>
      <c r="F75" s="125" t="s">
        <v>188</v>
      </c>
      <c r="G75" s="125"/>
      <c r="H75" s="54">
        <v>-7.7951012306511842</v>
      </c>
      <c r="I75" s="54">
        <v>-14.627364097238427</v>
      </c>
      <c r="J75" s="54">
        <v>-3.0721689879739813</v>
      </c>
      <c r="K75" s="350">
        <v>-10.809962983897606</v>
      </c>
      <c r="L75" s="350">
        <v>-23.661484181617652</v>
      </c>
      <c r="M75" s="350">
        <v>-3.4742813391047918</v>
      </c>
      <c r="N75" s="361">
        <v>-8.2405739084080949</v>
      </c>
      <c r="O75" s="361">
        <v>-21.042398732913668</v>
      </c>
      <c r="P75" s="361">
        <v>-1.4133480493944433</v>
      </c>
      <c r="Q75" s="369">
        <v>0</v>
      </c>
      <c r="R75" s="369">
        <v>0</v>
      </c>
      <c r="S75" s="369">
        <v>0</v>
      </c>
      <c r="T75" s="375">
        <v>-2.4285714285714306</v>
      </c>
      <c r="U75" s="375">
        <v>-13.410430839002274</v>
      </c>
      <c r="V75" s="375">
        <v>1.1179138321995481</v>
      </c>
      <c r="W75" s="385">
        <v>-5.4285714285714306</v>
      </c>
      <c r="X75" s="385">
        <v>-17.904761904761912</v>
      </c>
      <c r="Y75" s="385">
        <v>0.66666666666665719</v>
      </c>
      <c r="Z75" s="640">
        <v>56.198900287450769</v>
      </c>
      <c r="AA75" s="640">
        <v>27.607769853003571</v>
      </c>
      <c r="AB75" s="640">
        <v>16.193329859545656</v>
      </c>
      <c r="AC75" s="343">
        <v>43.801099712549231</v>
      </c>
      <c r="AE75" s="323">
        <v>11.555195109264446</v>
      </c>
      <c r="AF75" s="323">
        <v>20.18720284251286</v>
      </c>
      <c r="AG75" s="323">
        <v>19.629050683519225</v>
      </c>
      <c r="AH75" s="635">
        <v>14075.125</v>
      </c>
    </row>
    <row r="76" spans="1:34" ht="18" customHeight="1" x14ac:dyDescent="0.3">
      <c r="A76" s="41" t="s">
        <v>88</v>
      </c>
      <c r="B76" s="41" t="s">
        <v>89</v>
      </c>
      <c r="C76" s="41" t="s">
        <v>93</v>
      </c>
      <c r="D76" s="64" t="s">
        <v>94</v>
      </c>
      <c r="E76" s="323"/>
      <c r="F76" s="125" t="s">
        <v>201</v>
      </c>
      <c r="G76" s="125"/>
      <c r="H76" s="54">
        <v>-19.416634570785718</v>
      </c>
      <c r="I76" s="54">
        <v>-37.791933768467459</v>
      </c>
      <c r="J76" s="54">
        <v>-8.4798744363976226</v>
      </c>
      <c r="K76" s="350">
        <v>-25.416673729964288</v>
      </c>
      <c r="L76" s="350">
        <v>-43.030560024883961</v>
      </c>
      <c r="M76" s="350">
        <v>-8.0603368191162588</v>
      </c>
      <c r="N76" s="361">
        <v>-14.176070164389998</v>
      </c>
      <c r="O76" s="361">
        <v>-31.595870924620002</v>
      </c>
      <c r="P76" s="361">
        <v>-3.6954973839962264</v>
      </c>
      <c r="Q76" s="369">
        <v>0</v>
      </c>
      <c r="R76" s="369">
        <v>0</v>
      </c>
      <c r="S76" s="369">
        <v>0</v>
      </c>
      <c r="T76" s="375">
        <v>-5</v>
      </c>
      <c r="U76" s="375">
        <v>-16.793517406962792</v>
      </c>
      <c r="V76" s="375">
        <v>3.6994797919167723</v>
      </c>
      <c r="W76" s="385">
        <v>-6.7142857142857082</v>
      </c>
      <c r="X76" s="385">
        <v>-21.013205282112835</v>
      </c>
      <c r="Y76" s="385">
        <v>0.47405628918234299</v>
      </c>
      <c r="Z76" s="640">
        <v>2.3756224590000001</v>
      </c>
      <c r="AA76" s="640">
        <v>26.488190420000002</v>
      </c>
      <c r="AB76" s="640">
        <v>71.136187129999996</v>
      </c>
      <c r="AC76" s="343">
        <v>97.624377549999991</v>
      </c>
      <c r="AE76" s="323">
        <v>29.312059332069836</v>
      </c>
      <c r="AF76" s="323">
        <v>34.970223205767702</v>
      </c>
      <c r="AG76" s="323">
        <v>27.900373540623775</v>
      </c>
      <c r="AH76" s="635">
        <v>1373.0625</v>
      </c>
    </row>
    <row r="77" spans="1:34" ht="18" customHeight="1" x14ac:dyDescent="0.3">
      <c r="A77" s="41" t="s">
        <v>88</v>
      </c>
      <c r="B77" s="41" t="s">
        <v>89</v>
      </c>
      <c r="C77" s="41" t="s">
        <v>96</v>
      </c>
      <c r="D77" s="64" t="s">
        <v>97</v>
      </c>
      <c r="E77" s="323"/>
      <c r="F77" s="125" t="s">
        <v>201</v>
      </c>
      <c r="G77" s="125"/>
      <c r="H77" s="54">
        <v>-44.326530610142854</v>
      </c>
      <c r="I77" s="54">
        <v>-58.095009430780699</v>
      </c>
      <c r="J77" s="54">
        <v>-27.505630820961727</v>
      </c>
      <c r="K77" s="350">
        <v>-56.22448979431428</v>
      </c>
      <c r="L77" s="350">
        <v>-73.155093245170008</v>
      </c>
      <c r="M77" s="350">
        <v>-33.171410979409728</v>
      </c>
      <c r="N77" s="361">
        <v>-41.469387752885709</v>
      </c>
      <c r="O77" s="361">
        <v>-60.748783321427808</v>
      </c>
      <c r="P77" s="361">
        <v>-21.817191635519251</v>
      </c>
      <c r="Q77" s="369">
        <v>0</v>
      </c>
      <c r="R77" s="369">
        <v>0</v>
      </c>
      <c r="S77" s="369">
        <v>0</v>
      </c>
      <c r="T77" s="375">
        <v>-1.7142857142857082</v>
      </c>
      <c r="U77" s="375">
        <v>-14.419501133786838</v>
      </c>
      <c r="V77" s="375">
        <v>-0.11111111111110006</v>
      </c>
      <c r="W77" s="385">
        <v>-6.2857142857142918</v>
      </c>
      <c r="X77" s="385">
        <v>-22.873015873015873</v>
      </c>
      <c r="Y77" s="385">
        <v>-0.55555555555555713</v>
      </c>
      <c r="Z77" s="640">
        <v>0</v>
      </c>
      <c r="AA77" s="640">
        <v>5.7142857140000007</v>
      </c>
      <c r="AB77" s="640">
        <v>94.285714290000001</v>
      </c>
      <c r="AC77" s="343">
        <v>100.000000004</v>
      </c>
      <c r="AE77" s="323">
        <v>30.589378609818972</v>
      </c>
      <c r="AF77" s="323">
        <v>39.98368226576028</v>
      </c>
      <c r="AG77" s="323">
        <v>38.931591685908558</v>
      </c>
      <c r="AH77" s="635">
        <v>112.1875</v>
      </c>
    </row>
    <row r="78" spans="1:34" ht="18" customHeight="1" x14ac:dyDescent="0.3">
      <c r="A78" s="41" t="s">
        <v>88</v>
      </c>
      <c r="B78" s="41" t="s">
        <v>89</v>
      </c>
      <c r="C78" s="41" t="s">
        <v>98</v>
      </c>
      <c r="D78" s="64" t="s">
        <v>99</v>
      </c>
      <c r="E78" s="323"/>
      <c r="F78" s="125" t="s">
        <v>201</v>
      </c>
      <c r="G78" s="125"/>
      <c r="H78" s="54">
        <v>-9.8188625865428492</v>
      </c>
      <c r="I78" s="54">
        <v>-16.198260111705281</v>
      </c>
      <c r="J78" s="54">
        <v>-5.1966720700334861</v>
      </c>
      <c r="K78" s="350">
        <v>-14.985191521277144</v>
      </c>
      <c r="L78" s="350">
        <v>-27.666546339975184</v>
      </c>
      <c r="M78" s="350">
        <v>-6.5020274945670735</v>
      </c>
      <c r="N78" s="361">
        <v>-14.50212870348571</v>
      </c>
      <c r="O78" s="361">
        <v>-31.81357251484846</v>
      </c>
      <c r="P78" s="361">
        <v>-5.881424610805567</v>
      </c>
      <c r="Q78" s="369">
        <v>0</v>
      </c>
      <c r="R78" s="369">
        <v>0</v>
      </c>
      <c r="S78" s="369">
        <v>0</v>
      </c>
      <c r="T78" s="375">
        <v>-3.8571428571428612</v>
      </c>
      <c r="U78" s="375">
        <v>-15.590636254501803</v>
      </c>
      <c r="V78" s="375">
        <v>-0.19394424436441682</v>
      </c>
      <c r="W78" s="385">
        <v>-7.4285714285714306</v>
      </c>
      <c r="X78" s="385">
        <v>-24.955182072829132</v>
      </c>
      <c r="Y78" s="385">
        <v>-1.8216619981325834</v>
      </c>
      <c r="Z78" s="640">
        <v>66.896918170000006</v>
      </c>
      <c r="AA78" s="640">
        <v>8.7118236839999987</v>
      </c>
      <c r="AB78" s="640">
        <v>24.391258140000001</v>
      </c>
      <c r="AC78" s="343">
        <v>33.103081824</v>
      </c>
      <c r="AE78" s="323">
        <v>11.001588041671795</v>
      </c>
      <c r="AF78" s="323">
        <v>21.164518845408111</v>
      </c>
      <c r="AG78" s="323">
        <v>25.932147904042893</v>
      </c>
      <c r="AH78" s="635">
        <v>2711.6875</v>
      </c>
    </row>
    <row r="79" spans="1:34" ht="18" customHeight="1" x14ac:dyDescent="0.3">
      <c r="A79" s="41" t="s">
        <v>88</v>
      </c>
      <c r="B79" s="41" t="s">
        <v>89</v>
      </c>
      <c r="C79" s="41" t="s">
        <v>100</v>
      </c>
      <c r="D79" s="64" t="s">
        <v>101</v>
      </c>
      <c r="E79" s="323"/>
      <c r="F79" s="125" t="s">
        <v>201</v>
      </c>
      <c r="G79" s="125"/>
      <c r="H79" s="54">
        <v>-10.73767587495</v>
      </c>
      <c r="I79" s="54">
        <v>-16.890576009980677</v>
      </c>
      <c r="J79" s="54">
        <v>-5.2467303438147468</v>
      </c>
      <c r="K79" s="350">
        <v>-16.652791250977145</v>
      </c>
      <c r="L79" s="350">
        <v>-29.152366983720498</v>
      </c>
      <c r="M79" s="350">
        <v>-5.9772161593532473</v>
      </c>
      <c r="N79" s="361">
        <v>-11.95879967614286</v>
      </c>
      <c r="O79" s="361">
        <v>-30.193541351484441</v>
      </c>
      <c r="P79" s="361">
        <v>-0.95120969979859638</v>
      </c>
      <c r="Q79" s="369">
        <v>0</v>
      </c>
      <c r="R79" s="369">
        <v>0</v>
      </c>
      <c r="S79" s="369">
        <v>0</v>
      </c>
      <c r="T79" s="375">
        <v>-2.5714285714285694</v>
      </c>
      <c r="U79" s="375">
        <v>-15.370948379351745</v>
      </c>
      <c r="V79" s="375">
        <v>1.386154461784713</v>
      </c>
      <c r="W79" s="385">
        <v>-6</v>
      </c>
      <c r="X79" s="385">
        <v>-25.723889555822325</v>
      </c>
      <c r="Y79" s="385">
        <v>0.29838602107510326</v>
      </c>
      <c r="Z79" s="640">
        <v>59.449302230000001</v>
      </c>
      <c r="AA79" s="640">
        <v>9.1348683390000005</v>
      </c>
      <c r="AB79" s="640">
        <v>31.415829429999999</v>
      </c>
      <c r="AC79" s="343">
        <v>40.550697768999996</v>
      </c>
      <c r="AE79" s="323">
        <v>11.64384566616593</v>
      </c>
      <c r="AF79" s="323">
        <v>23.17515082436725</v>
      </c>
      <c r="AG79" s="323">
        <v>29.242331651685845</v>
      </c>
      <c r="AH79" s="635">
        <v>2487.75</v>
      </c>
    </row>
    <row r="80" spans="1:34" ht="18" customHeight="1" x14ac:dyDescent="0.3">
      <c r="A80" s="41" t="s">
        <v>88</v>
      </c>
      <c r="B80" s="41" t="s">
        <v>89</v>
      </c>
      <c r="C80" s="41" t="s">
        <v>102</v>
      </c>
      <c r="D80" s="64" t="s">
        <v>103</v>
      </c>
      <c r="E80" s="323"/>
      <c r="F80" s="125" t="s">
        <v>227</v>
      </c>
      <c r="G80" s="125"/>
      <c r="H80" s="54">
        <v>0</v>
      </c>
      <c r="I80" s="54">
        <v>0</v>
      </c>
      <c r="J80" s="54">
        <v>0</v>
      </c>
      <c r="K80" s="350">
        <v>-10.142857142857139</v>
      </c>
      <c r="L80" s="350">
        <v>-25.539682539682531</v>
      </c>
      <c r="M80" s="350">
        <v>2.0634920634920633</v>
      </c>
      <c r="N80" s="361">
        <v>-7.8571428571428612</v>
      </c>
      <c r="O80" s="361">
        <v>-31.61904761904762</v>
      </c>
      <c r="P80" s="361">
        <v>9.5238095238087794E-2</v>
      </c>
      <c r="Q80" s="369">
        <v>0</v>
      </c>
      <c r="R80" s="369">
        <v>0</v>
      </c>
      <c r="S80" s="369">
        <v>0</v>
      </c>
      <c r="T80" s="375">
        <v>-10.142857142857139</v>
      </c>
      <c r="U80" s="375">
        <v>-25.539682539682531</v>
      </c>
      <c r="V80" s="375">
        <v>2.0634920634920633</v>
      </c>
      <c r="W80" s="385">
        <v>-7.8571428571428612</v>
      </c>
      <c r="X80" s="385">
        <v>-31.61904761904762</v>
      </c>
      <c r="Y80" s="385">
        <v>9.5238095238087794E-2</v>
      </c>
      <c r="Z80" s="640">
        <v>100</v>
      </c>
      <c r="AA80" s="640">
        <v>0</v>
      </c>
      <c r="AB80" s="640">
        <v>0</v>
      </c>
      <c r="AC80" s="343">
        <v>0</v>
      </c>
      <c r="AE80" s="323">
        <v>0</v>
      </c>
      <c r="AF80" s="323">
        <v>27.603174603174594</v>
      </c>
      <c r="AG80" s="323">
        <v>31.714285714285708</v>
      </c>
      <c r="AH80" s="635">
        <v>9.1875</v>
      </c>
    </row>
    <row r="81" spans="1:34" ht="18" customHeight="1" x14ac:dyDescent="0.3">
      <c r="A81" s="41" t="s">
        <v>88</v>
      </c>
      <c r="B81" s="41" t="s">
        <v>89</v>
      </c>
      <c r="C81" s="41" t="s">
        <v>104</v>
      </c>
      <c r="D81" s="64" t="s">
        <v>105</v>
      </c>
      <c r="E81" s="323"/>
      <c r="F81" s="125" t="s">
        <v>201</v>
      </c>
      <c r="G81" s="125"/>
      <c r="H81" s="54">
        <v>-26.636263983857134</v>
      </c>
      <c r="I81" s="54">
        <v>-41.129778094637672</v>
      </c>
      <c r="J81" s="54">
        <v>-16.075569518093744</v>
      </c>
      <c r="K81" s="350">
        <v>-38.821681337685717</v>
      </c>
      <c r="L81" s="350">
        <v>-54.618175650114964</v>
      </c>
      <c r="M81" s="350">
        <v>-17.138866859360689</v>
      </c>
      <c r="N81" s="361">
        <v>-32.658666895428567</v>
      </c>
      <c r="O81" s="361">
        <v>-47.892561606227275</v>
      </c>
      <c r="P81" s="361">
        <v>-14.518878368032389</v>
      </c>
      <c r="Q81" s="369">
        <v>0</v>
      </c>
      <c r="R81" s="369">
        <v>0</v>
      </c>
      <c r="S81" s="369">
        <v>0</v>
      </c>
      <c r="T81" s="375">
        <v>-8.8571428571428612</v>
      </c>
      <c r="U81" s="375">
        <v>-22.467120181405903</v>
      </c>
      <c r="V81" s="375">
        <v>1.0929705215419432</v>
      </c>
      <c r="W81" s="385">
        <v>-14</v>
      </c>
      <c r="X81" s="385">
        <v>-30.277551020408168</v>
      </c>
      <c r="Y81" s="385">
        <v>-4.2208616780045389</v>
      </c>
      <c r="Z81" s="640">
        <v>33.092453249999998</v>
      </c>
      <c r="AA81" s="640">
        <v>14.179641908000001</v>
      </c>
      <c r="AB81" s="640">
        <v>52.727904840000001</v>
      </c>
      <c r="AC81" s="343">
        <v>66.907546748000001</v>
      </c>
      <c r="AE81" s="323">
        <v>25.054208576543928</v>
      </c>
      <c r="AF81" s="323">
        <v>37.479308790754274</v>
      </c>
      <c r="AG81" s="323">
        <v>33.373683238194886</v>
      </c>
      <c r="AH81" s="635">
        <v>2522.125</v>
      </c>
    </row>
    <row r="82" spans="1:34" ht="18" customHeight="1" x14ac:dyDescent="0.3">
      <c r="A82" s="41" t="s">
        <v>88</v>
      </c>
      <c r="B82" s="41" t="s">
        <v>89</v>
      </c>
      <c r="C82" s="41" t="s">
        <v>106</v>
      </c>
      <c r="D82" s="64" t="s">
        <v>107</v>
      </c>
      <c r="E82" s="323"/>
      <c r="F82" s="125" t="s">
        <v>227</v>
      </c>
      <c r="G82" s="125"/>
      <c r="H82" s="54">
        <v>-12.060442632328574</v>
      </c>
      <c r="I82" s="54">
        <v>-18.427159678901077</v>
      </c>
      <c r="J82" s="54">
        <v>-6.6332509422132091</v>
      </c>
      <c r="K82" s="350">
        <v>-28.838035489642863</v>
      </c>
      <c r="L82" s="350">
        <v>-48.154985936965879</v>
      </c>
      <c r="M82" s="350">
        <v>-10.002881584610549</v>
      </c>
      <c r="N82" s="361">
        <v>-22.180863827157154</v>
      </c>
      <c r="O82" s="361">
        <v>-51.673354742619644</v>
      </c>
      <c r="P82" s="361">
        <v>-5.8992994324093928</v>
      </c>
      <c r="Q82" s="369">
        <v>0</v>
      </c>
      <c r="R82" s="369">
        <v>0</v>
      </c>
      <c r="S82" s="369">
        <v>0</v>
      </c>
      <c r="T82" s="375">
        <v>-15.571428571428569</v>
      </c>
      <c r="U82" s="375">
        <v>-33.725623582766445</v>
      </c>
      <c r="V82" s="375">
        <v>0.15192743764171723</v>
      </c>
      <c r="W82" s="385">
        <v>-12.857142857142861</v>
      </c>
      <c r="X82" s="385">
        <v>-42.673469387755105</v>
      </c>
      <c r="Y82" s="385">
        <v>1.9206349206349103</v>
      </c>
      <c r="Z82" s="640">
        <v>64.663380759999995</v>
      </c>
      <c r="AA82" s="640">
        <v>14.887420186</v>
      </c>
      <c r="AB82" s="640">
        <v>20.449199060000002</v>
      </c>
      <c r="AC82" s="343">
        <v>35.336619245999998</v>
      </c>
      <c r="AE82" s="323">
        <v>11.793908736687868</v>
      </c>
      <c r="AF82" s="323">
        <v>38.15210435235533</v>
      </c>
      <c r="AG82" s="323">
        <v>45.774055310210251</v>
      </c>
      <c r="AH82" s="635">
        <v>1114.75</v>
      </c>
    </row>
    <row r="83" spans="1:34" ht="18" customHeight="1" x14ac:dyDescent="0.3">
      <c r="A83" s="41" t="s">
        <v>88</v>
      </c>
      <c r="B83" s="41" t="s">
        <v>89</v>
      </c>
      <c r="C83" s="41" t="s">
        <v>108</v>
      </c>
      <c r="D83" s="64" t="s">
        <v>109</v>
      </c>
      <c r="E83" s="323"/>
      <c r="F83" s="125" t="s">
        <v>227</v>
      </c>
      <c r="G83" s="125"/>
      <c r="H83" s="54">
        <v>-16.249919371745719</v>
      </c>
      <c r="I83" s="54">
        <v>-30.713884824015409</v>
      </c>
      <c r="J83" s="54">
        <v>-8.0037976264037241</v>
      </c>
      <c r="K83" s="350">
        <v>-34.954530789442856</v>
      </c>
      <c r="L83" s="350">
        <v>-55.036511306277447</v>
      </c>
      <c r="M83" s="350">
        <v>-12.856500859073108</v>
      </c>
      <c r="N83" s="361">
        <v>-23.793937431314291</v>
      </c>
      <c r="O83" s="361">
        <v>-51.980873608453187</v>
      </c>
      <c r="P83" s="361">
        <v>-6.3896929626243661</v>
      </c>
      <c r="Q83" s="369">
        <v>0</v>
      </c>
      <c r="R83" s="369">
        <v>0</v>
      </c>
      <c r="S83" s="369">
        <v>0</v>
      </c>
      <c r="T83" s="375">
        <v>-14.142857142857139</v>
      </c>
      <c r="U83" s="375">
        <v>-33.827664399092967</v>
      </c>
      <c r="V83" s="375">
        <v>2.0453514739229064</v>
      </c>
      <c r="W83" s="385">
        <v>-10</v>
      </c>
      <c r="X83" s="385">
        <v>-39.863945578231295</v>
      </c>
      <c r="Y83" s="385">
        <v>1.668934240362816</v>
      </c>
      <c r="Z83" s="640">
        <v>30.699774269999999</v>
      </c>
      <c r="AA83" s="640">
        <v>53.724604970999998</v>
      </c>
      <c r="AB83" s="640">
        <v>15.57562077</v>
      </c>
      <c r="AC83" s="343">
        <v>69.300225740999991</v>
      </c>
      <c r="AE83" s="323">
        <v>22.710087197611685</v>
      </c>
      <c r="AF83" s="323">
        <v>42.180010447204339</v>
      </c>
      <c r="AG83" s="323">
        <v>45.591180645828821</v>
      </c>
      <c r="AH83" s="635">
        <v>27.75</v>
      </c>
    </row>
    <row r="84" spans="1:34" ht="18" customHeight="1" x14ac:dyDescent="0.3">
      <c r="A84" s="41" t="s">
        <v>88</v>
      </c>
      <c r="B84" s="41" t="s">
        <v>89</v>
      </c>
      <c r="C84" s="41" t="s">
        <v>110</v>
      </c>
      <c r="D84" s="64" t="s">
        <v>111</v>
      </c>
      <c r="E84" s="323"/>
      <c r="F84" s="125" t="s">
        <v>201</v>
      </c>
      <c r="G84" s="125"/>
      <c r="H84" s="54">
        <v>-10.61597984596429</v>
      </c>
      <c r="I84" s="54">
        <v>-17.590792242242429</v>
      </c>
      <c r="J84" s="54">
        <v>-6.0713859361527795</v>
      </c>
      <c r="K84" s="350">
        <v>-18.061636288171414</v>
      </c>
      <c r="L84" s="350">
        <v>-31.197614299942572</v>
      </c>
      <c r="M84" s="350">
        <v>-7.0038309214821766</v>
      </c>
      <c r="N84" s="361">
        <v>-12.350319381957135</v>
      </c>
      <c r="O84" s="361">
        <v>-27.730135631967443</v>
      </c>
      <c r="P84" s="361">
        <v>-4.654977820097514</v>
      </c>
      <c r="Q84" s="369">
        <v>0</v>
      </c>
      <c r="R84" s="369">
        <v>0</v>
      </c>
      <c r="S84" s="369">
        <v>0</v>
      </c>
      <c r="T84" s="375">
        <v>-4</v>
      </c>
      <c r="U84" s="375">
        <v>-15.163595262666476</v>
      </c>
      <c r="V84" s="375">
        <v>1.8524743230625518</v>
      </c>
      <c r="W84" s="385">
        <v>-6.1428571428571388</v>
      </c>
      <c r="X84" s="385">
        <v>-15.486215538847105</v>
      </c>
      <c r="Y84" s="385">
        <v>-3.857683424246261E-2</v>
      </c>
      <c r="Z84" s="640">
        <v>62.720386140000002</v>
      </c>
      <c r="AA84" s="640">
        <v>10.886907555000001</v>
      </c>
      <c r="AB84" s="640">
        <v>26.392706310000001</v>
      </c>
      <c r="AC84" s="343">
        <v>37.279613865000002</v>
      </c>
      <c r="AE84" s="323">
        <v>11.51940630608965</v>
      </c>
      <c r="AF84" s="323">
        <v>24.193783378460395</v>
      </c>
      <c r="AG84" s="323">
        <v>23.075157811869929</v>
      </c>
      <c r="AH84" s="635">
        <v>933.75</v>
      </c>
    </row>
    <row r="85" spans="1:34" ht="18" customHeight="1" x14ac:dyDescent="0.3">
      <c r="A85" s="41" t="s">
        <v>88</v>
      </c>
      <c r="B85" s="41" t="s">
        <v>89</v>
      </c>
      <c r="C85" s="41" t="s">
        <v>112</v>
      </c>
      <c r="D85" s="64" t="s">
        <v>113</v>
      </c>
      <c r="E85" s="323"/>
      <c r="F85" s="125" t="s">
        <v>227</v>
      </c>
      <c r="G85" s="125"/>
      <c r="H85" s="54">
        <v>-37.142857142857146</v>
      </c>
      <c r="I85" s="54">
        <v>-58.559823929571827</v>
      </c>
      <c r="J85" s="54">
        <v>-19.297318927571027</v>
      </c>
      <c r="K85" s="350">
        <v>-50.714285714285715</v>
      </c>
      <c r="L85" s="350">
        <v>-79.886354541816729</v>
      </c>
      <c r="M85" s="350">
        <v>-34.17486994797919</v>
      </c>
      <c r="N85" s="361">
        <v>-40.714285714285715</v>
      </c>
      <c r="O85" s="361">
        <v>-78.684673869547808</v>
      </c>
      <c r="P85" s="361">
        <v>-22.134053621448587</v>
      </c>
      <c r="Q85" s="369">
        <v>0</v>
      </c>
      <c r="R85" s="369">
        <v>0</v>
      </c>
      <c r="S85" s="369">
        <v>0</v>
      </c>
      <c r="T85" s="375">
        <v>-4.7142857142857082</v>
      </c>
      <c r="U85" s="375">
        <v>-17.635875402792692</v>
      </c>
      <c r="V85" s="375">
        <v>-0.88805346700083021</v>
      </c>
      <c r="W85" s="385">
        <v>-5.1428571428571388</v>
      </c>
      <c r="X85" s="385">
        <v>-17.542041377954689</v>
      </c>
      <c r="Y85" s="385">
        <v>3.2090028994062436E-2</v>
      </c>
      <c r="Z85" s="640">
        <v>0</v>
      </c>
      <c r="AA85" s="640">
        <v>0</v>
      </c>
      <c r="AB85" s="640">
        <v>100</v>
      </c>
      <c r="AC85" s="343">
        <v>100</v>
      </c>
      <c r="AE85" s="323">
        <v>39.2625050020008</v>
      </c>
      <c r="AF85" s="323">
        <v>45.71148459383754</v>
      </c>
      <c r="AG85" s="323">
        <v>56.550620248099221</v>
      </c>
      <c r="AH85" s="635">
        <v>77</v>
      </c>
    </row>
    <row r="86" spans="1:34" ht="18" customHeight="1" x14ac:dyDescent="0.3">
      <c r="A86" s="41" t="s">
        <v>88</v>
      </c>
      <c r="B86" s="41" t="s">
        <v>89</v>
      </c>
      <c r="C86" s="41" t="s">
        <v>114</v>
      </c>
      <c r="D86" s="64" t="s">
        <v>115</v>
      </c>
      <c r="E86" s="323"/>
      <c r="F86" s="125" t="s">
        <v>227</v>
      </c>
      <c r="G86" s="125"/>
      <c r="H86" s="54">
        <v>-0.40697674319999066</v>
      </c>
      <c r="I86" s="54">
        <v>-0.85432816440396664</v>
      </c>
      <c r="J86" s="54">
        <v>-0.17603359073730473</v>
      </c>
      <c r="K86" s="350">
        <v>-15.774086377907139</v>
      </c>
      <c r="L86" s="350">
        <v>-29.278440833006712</v>
      </c>
      <c r="M86" s="350">
        <v>-2.6127749539758867</v>
      </c>
      <c r="N86" s="361">
        <v>-24.990448504239993</v>
      </c>
      <c r="O86" s="361">
        <v>-43.914495254916552</v>
      </c>
      <c r="P86" s="361">
        <v>-8.9193483585901845</v>
      </c>
      <c r="Q86" s="369">
        <v>0</v>
      </c>
      <c r="R86" s="369">
        <v>0</v>
      </c>
      <c r="S86" s="369">
        <v>0</v>
      </c>
      <c r="T86" s="375">
        <v>-15.285714285714292</v>
      </c>
      <c r="U86" s="375">
        <v>-28.615579565159408</v>
      </c>
      <c r="V86" s="375">
        <v>-2.3436041083100037</v>
      </c>
      <c r="W86" s="385">
        <v>-24.714285714285708</v>
      </c>
      <c r="X86" s="385">
        <v>-43.465919701213807</v>
      </c>
      <c r="Y86" s="385">
        <v>-8.8300653594771177</v>
      </c>
      <c r="Z86" s="640">
        <v>97.965116280000004</v>
      </c>
      <c r="AA86" s="640">
        <v>2.0348837209999999</v>
      </c>
      <c r="AB86" s="640">
        <v>0</v>
      </c>
      <c r="AC86" s="343">
        <v>2.0348837209999999</v>
      </c>
      <c r="AE86" s="323">
        <v>0.6782945736666619</v>
      </c>
      <c r="AF86" s="323">
        <v>26.665665879030826</v>
      </c>
      <c r="AG86" s="323">
        <v>34.995146896326368</v>
      </c>
      <c r="AH86" s="635">
        <v>42.875</v>
      </c>
    </row>
    <row r="87" spans="1:34" ht="18" customHeight="1" x14ac:dyDescent="0.3">
      <c r="A87" s="41" t="s">
        <v>88</v>
      </c>
      <c r="B87" s="41" t="s">
        <v>89</v>
      </c>
      <c r="C87" s="41" t="s">
        <v>116</v>
      </c>
      <c r="D87" s="64" t="s">
        <v>117</v>
      </c>
      <c r="E87" s="323"/>
      <c r="F87" s="125" t="s">
        <v>227</v>
      </c>
      <c r="G87" s="125"/>
      <c r="H87" s="54">
        <v>-16.698252265576585</v>
      </c>
      <c r="I87" s="54">
        <v>-30.950950842560914</v>
      </c>
      <c r="J87" s="54">
        <v>-9.6269699234546948</v>
      </c>
      <c r="K87" s="350">
        <v>-28.858857505466659</v>
      </c>
      <c r="L87" s="350">
        <v>-50.873535697804869</v>
      </c>
      <c r="M87" s="350">
        <v>-9.0972127432257537</v>
      </c>
      <c r="N87" s="361">
        <v>-20.757903920775121</v>
      </c>
      <c r="O87" s="361">
        <v>-52.627381074643331</v>
      </c>
      <c r="P87" s="361">
        <v>-4.6698747752839012</v>
      </c>
      <c r="Q87" s="369">
        <v>0</v>
      </c>
      <c r="R87" s="369">
        <v>0</v>
      </c>
      <c r="S87" s="369">
        <v>0</v>
      </c>
      <c r="T87" s="375">
        <v>-14.714285714285708</v>
      </c>
      <c r="U87" s="375">
        <v>-34.099598813884526</v>
      </c>
      <c r="V87" s="375">
        <v>2.2234432234432262</v>
      </c>
      <c r="W87" s="385">
        <v>-10.428571428571431</v>
      </c>
      <c r="X87" s="385">
        <v>-39.965021906198373</v>
      </c>
      <c r="Y87" s="385">
        <v>1.9684694390576709</v>
      </c>
      <c r="Z87" s="640">
        <v>52.958517576922837</v>
      </c>
      <c r="AA87" s="640">
        <v>27.690040012280626</v>
      </c>
      <c r="AB87" s="640">
        <v>19.35144241079653</v>
      </c>
      <c r="AC87" s="343">
        <v>47.041482423077156</v>
      </c>
      <c r="AE87" s="323">
        <v>21.323980919106219</v>
      </c>
      <c r="AF87" s="323">
        <v>41.776322954579115</v>
      </c>
      <c r="AG87" s="323">
        <v>47.95750629935943</v>
      </c>
      <c r="AH87" s="635">
        <v>300.875</v>
      </c>
    </row>
    <row r="88" spans="1:34" ht="18" customHeight="1" x14ac:dyDescent="0.3">
      <c r="A88" s="41" t="s">
        <v>88</v>
      </c>
      <c r="B88" s="41" t="s">
        <v>89</v>
      </c>
      <c r="C88" s="41" t="s">
        <v>118</v>
      </c>
      <c r="D88" s="64" t="s">
        <v>119</v>
      </c>
      <c r="E88" s="323"/>
      <c r="F88" s="125" t="s">
        <v>346</v>
      </c>
      <c r="G88" s="125" t="s">
        <v>227</v>
      </c>
      <c r="H88" s="54">
        <v>-2.5451083300001045</v>
      </c>
      <c r="I88" s="54">
        <v>-5.7029384317576586</v>
      </c>
      <c r="J88" s="54">
        <v>-0.87199141434196292</v>
      </c>
      <c r="K88" s="350">
        <v>-14.468457269557604</v>
      </c>
      <c r="L88" s="350">
        <v>-29.217341900142131</v>
      </c>
      <c r="M88" s="350">
        <v>-1.023020503371626</v>
      </c>
      <c r="N88" s="361">
        <v>-18.077620163334586</v>
      </c>
      <c r="O88" s="361">
        <v>-42.055727202249969</v>
      </c>
      <c r="P88" s="361">
        <v>-4.6216122797802512</v>
      </c>
      <c r="Q88" s="369">
        <v>0</v>
      </c>
      <c r="R88" s="369">
        <v>0</v>
      </c>
      <c r="S88" s="369">
        <v>0</v>
      </c>
      <c r="T88" s="375">
        <v>-10.428571428571431</v>
      </c>
      <c r="U88" s="375">
        <v>-23.725623582766445</v>
      </c>
      <c r="V88" s="375">
        <v>1.3628117913832227</v>
      </c>
      <c r="W88" s="385">
        <v>-16</v>
      </c>
      <c r="X88" s="385">
        <v>-39.024676537281579</v>
      </c>
      <c r="Y88" s="385">
        <v>-3.6985460851007019</v>
      </c>
      <c r="Z88" s="640">
        <v>84.47725458844593</v>
      </c>
      <c r="AA88" s="640">
        <v>14.258682388329941</v>
      </c>
      <c r="AB88" s="640">
        <v>1.2640630232241294</v>
      </c>
      <c r="AC88" s="343">
        <v>15.52274541155407</v>
      </c>
      <c r="AE88" s="323">
        <v>4.8309470174156957</v>
      </c>
      <c r="AF88" s="323">
        <v>28.194321396770505</v>
      </c>
      <c r="AG88" s="323">
        <v>37.434114922469718</v>
      </c>
      <c r="AH88" s="635">
        <v>94.0625</v>
      </c>
    </row>
    <row r="89" spans="1:34" ht="18" customHeight="1" x14ac:dyDescent="0.3">
      <c r="A89" s="41" t="s">
        <v>88</v>
      </c>
      <c r="B89" s="41" t="s">
        <v>89</v>
      </c>
      <c r="C89" s="41" t="s">
        <v>120</v>
      </c>
      <c r="D89" s="64" t="s">
        <v>121</v>
      </c>
      <c r="E89" s="323"/>
      <c r="F89" s="125" t="s">
        <v>188</v>
      </c>
      <c r="G89" s="125"/>
      <c r="H89" s="54">
        <v>-0.12101730166918401</v>
      </c>
      <c r="I89" s="54">
        <v>-0.28856863719451553</v>
      </c>
      <c r="J89" s="54">
        <v>-3.6593326933299863E-2</v>
      </c>
      <c r="K89" s="350">
        <v>-3.4551385080511636</v>
      </c>
      <c r="L89" s="350">
        <v>-14.468918120927896</v>
      </c>
      <c r="M89" s="350">
        <v>2.8422198793648761</v>
      </c>
      <c r="N89" s="361">
        <v>-3.0468942043968212</v>
      </c>
      <c r="O89" s="361">
        <v>-16.445382388549959</v>
      </c>
      <c r="P89" s="361">
        <v>2.2169082060422056</v>
      </c>
      <c r="Q89" s="369">
        <v>0</v>
      </c>
      <c r="R89" s="369">
        <v>0</v>
      </c>
      <c r="S89" s="369">
        <v>0</v>
      </c>
      <c r="T89" s="375">
        <v>-3.2857142857142918</v>
      </c>
      <c r="U89" s="375">
        <v>-14.271975456849418</v>
      </c>
      <c r="V89" s="375">
        <v>2.9295718287314827</v>
      </c>
      <c r="W89" s="385">
        <v>-3</v>
      </c>
      <c r="X89" s="385">
        <v>-16.387755102040813</v>
      </c>
      <c r="Y89" s="385">
        <v>2.2517006802721085</v>
      </c>
      <c r="Z89" s="640">
        <v>98.941098610394576</v>
      </c>
      <c r="AA89" s="640">
        <v>1.0589013896054253</v>
      </c>
      <c r="AB89" s="640">
        <v>0</v>
      </c>
      <c r="AC89" s="343">
        <v>1.0589013896054253</v>
      </c>
      <c r="AE89" s="323">
        <v>0.25197531026121567</v>
      </c>
      <c r="AF89" s="323">
        <v>17.311138000292772</v>
      </c>
      <c r="AG89" s="323">
        <v>18.662290594592164</v>
      </c>
      <c r="AH89" s="635">
        <v>4549.5625</v>
      </c>
    </row>
    <row r="90" spans="1:34" ht="18" customHeight="1" x14ac:dyDescent="0.3">
      <c r="A90" s="41" t="s">
        <v>88</v>
      </c>
      <c r="B90" s="41" t="s">
        <v>89</v>
      </c>
      <c r="C90" s="41" t="s">
        <v>122</v>
      </c>
      <c r="D90" s="64" t="s">
        <v>123</v>
      </c>
      <c r="E90" s="323"/>
      <c r="F90" s="125" t="s">
        <v>201</v>
      </c>
      <c r="G90" s="125"/>
      <c r="H90" s="54">
        <v>-13.175289060635905</v>
      </c>
      <c r="I90" s="54">
        <v>-24.989079325403665</v>
      </c>
      <c r="J90" s="54">
        <v>-5.7328735322098794</v>
      </c>
      <c r="K90" s="350">
        <v>-21.338220278911876</v>
      </c>
      <c r="L90" s="350">
        <v>-34.549407855676776</v>
      </c>
      <c r="M90" s="350">
        <v>-8.0334691289676101</v>
      </c>
      <c r="N90" s="361">
        <v>-17.94821220717175</v>
      </c>
      <c r="O90" s="361">
        <v>-31.674847499464732</v>
      </c>
      <c r="P90" s="361">
        <v>-6.6701010013310764</v>
      </c>
      <c r="Q90" s="369">
        <v>0</v>
      </c>
      <c r="R90" s="369">
        <v>0</v>
      </c>
      <c r="S90" s="369">
        <v>0</v>
      </c>
      <c r="T90" s="375">
        <v>-4</v>
      </c>
      <c r="U90" s="375">
        <v>-17.296181630546954</v>
      </c>
      <c r="V90" s="375">
        <v>-0.50887021475256233</v>
      </c>
      <c r="W90" s="385">
        <v>-6.8571428571428612</v>
      </c>
      <c r="X90" s="385">
        <v>-20.867167919799499</v>
      </c>
      <c r="Y90" s="385">
        <v>-2.9181286549707579</v>
      </c>
      <c r="Z90" s="640">
        <v>36.567226198916799</v>
      </c>
      <c r="AA90" s="640">
        <v>40.751204914958919</v>
      </c>
      <c r="AB90" s="640">
        <v>22.681568886124278</v>
      </c>
      <c r="AC90" s="343">
        <v>63.432773801083201</v>
      </c>
      <c r="AE90" s="323">
        <v>19.256205793193786</v>
      </c>
      <c r="AF90" s="323">
        <v>26.515938726709166</v>
      </c>
      <c r="AG90" s="323">
        <v>25.004746498133656</v>
      </c>
      <c r="AH90" s="635">
        <v>1215.5625</v>
      </c>
    </row>
    <row r="91" spans="1:34" ht="18" customHeight="1" x14ac:dyDescent="0.3">
      <c r="A91" s="41" t="s">
        <v>88</v>
      </c>
      <c r="B91" s="41" t="s">
        <v>89</v>
      </c>
      <c r="C91" s="41" t="s">
        <v>124</v>
      </c>
      <c r="D91" s="64" t="s">
        <v>125</v>
      </c>
      <c r="E91" s="323"/>
      <c r="F91" s="125" t="s">
        <v>201</v>
      </c>
      <c r="G91" s="125"/>
      <c r="H91" s="54">
        <v>-11.290701689961921</v>
      </c>
      <c r="I91" s="54">
        <v>-19.541296905407776</v>
      </c>
      <c r="J91" s="54">
        <v>-5.1865831776728299</v>
      </c>
      <c r="K91" s="350">
        <v>-21.46848534437828</v>
      </c>
      <c r="L91" s="350">
        <v>-33.332418343432423</v>
      </c>
      <c r="M91" s="350">
        <v>-9.6661918345117499</v>
      </c>
      <c r="N91" s="361">
        <v>-13.797374820182696</v>
      </c>
      <c r="O91" s="361">
        <v>-27.753981574719901</v>
      </c>
      <c r="P91" s="361">
        <v>-1.8629456402628364</v>
      </c>
      <c r="Q91" s="369">
        <v>0</v>
      </c>
      <c r="R91" s="369">
        <v>0</v>
      </c>
      <c r="S91" s="369">
        <v>0</v>
      </c>
      <c r="T91" s="375">
        <v>-5.8571428571428612</v>
      </c>
      <c r="U91" s="375">
        <v>-20.607106000294863</v>
      </c>
      <c r="V91" s="375">
        <v>-2.565826330532218</v>
      </c>
      <c r="W91" s="385">
        <v>-4.8571428571428612</v>
      </c>
      <c r="X91" s="385">
        <v>-19.057644110275689</v>
      </c>
      <c r="Y91" s="385">
        <v>0.14536340852129115</v>
      </c>
      <c r="Z91" s="640">
        <v>46.912437652382557</v>
      </c>
      <c r="AA91" s="640">
        <v>31.929662194707575</v>
      </c>
      <c r="AB91" s="640">
        <v>21.157900152909868</v>
      </c>
      <c r="AC91" s="343">
        <v>53.087562347617443</v>
      </c>
      <c r="AE91" s="323">
        <v>14.354713727734946</v>
      </c>
      <c r="AF91" s="323">
        <v>23.666226508920673</v>
      </c>
      <c r="AG91" s="323">
        <v>25.891035934457065</v>
      </c>
      <c r="AH91" s="635">
        <v>1631.125</v>
      </c>
    </row>
    <row r="92" spans="1:34" ht="18" customHeight="1" x14ac:dyDescent="0.3">
      <c r="A92" s="41" t="s">
        <v>88</v>
      </c>
      <c r="B92" s="41" t="s">
        <v>89</v>
      </c>
      <c r="C92" s="41" t="s">
        <v>126</v>
      </c>
      <c r="D92" s="64" t="s">
        <v>127</v>
      </c>
      <c r="E92" s="323"/>
      <c r="F92" s="125" t="s">
        <v>201</v>
      </c>
      <c r="G92" s="125"/>
      <c r="H92" s="54">
        <v>-5.2159037545301175</v>
      </c>
      <c r="I92" s="54">
        <v>-10.965920248150098</v>
      </c>
      <c r="J92" s="54">
        <v>-2.0359546116336134</v>
      </c>
      <c r="K92" s="350">
        <v>-12.375831450283826</v>
      </c>
      <c r="L92" s="350">
        <v>-25.857382573206266</v>
      </c>
      <c r="M92" s="350">
        <v>-3.7232217428572056</v>
      </c>
      <c r="N92" s="361">
        <v>-9.1888565908828355</v>
      </c>
      <c r="O92" s="361">
        <v>-24.826975727911076</v>
      </c>
      <c r="P92" s="361">
        <v>-1.5600955189352561</v>
      </c>
      <c r="Q92" s="369">
        <v>0</v>
      </c>
      <c r="R92" s="369">
        <v>0</v>
      </c>
      <c r="S92" s="369">
        <v>0</v>
      </c>
      <c r="T92" s="375">
        <v>-3.7142857142857082</v>
      </c>
      <c r="U92" s="375">
        <v>-17.447308748060621</v>
      </c>
      <c r="V92" s="375">
        <v>0.11111111111111427</v>
      </c>
      <c r="W92" s="385">
        <v>-5.5714285714285694</v>
      </c>
      <c r="X92" s="385">
        <v>-20.982814178302903</v>
      </c>
      <c r="Y92" s="385">
        <v>-0.51450053705693222</v>
      </c>
      <c r="Z92" s="640">
        <v>69.878327158519511</v>
      </c>
      <c r="AA92" s="640">
        <v>23.145144558400034</v>
      </c>
      <c r="AB92" s="640">
        <v>6.9765282830804614</v>
      </c>
      <c r="AC92" s="343">
        <v>30.121672841480496</v>
      </c>
      <c r="AE92" s="323">
        <v>8.929965636516485</v>
      </c>
      <c r="AF92" s="323">
        <v>22.13416083034906</v>
      </c>
      <c r="AG92" s="323">
        <v>23.26688020897582</v>
      </c>
      <c r="AH92" s="635">
        <v>1691.0625</v>
      </c>
    </row>
    <row r="93" spans="1:34" ht="18" customHeight="1" x14ac:dyDescent="0.3">
      <c r="A93" s="41" t="s">
        <v>88</v>
      </c>
      <c r="B93" s="41" t="s">
        <v>89</v>
      </c>
      <c r="C93" s="41" t="s">
        <v>128</v>
      </c>
      <c r="D93" s="64" t="s">
        <v>129</v>
      </c>
      <c r="E93" s="323"/>
      <c r="F93" s="125" t="s">
        <v>187</v>
      </c>
      <c r="G93" s="125"/>
      <c r="H93" s="54">
        <v>-2.4855150413830245</v>
      </c>
      <c r="I93" s="54">
        <v>-4.3718805078652849</v>
      </c>
      <c r="J93" s="54">
        <v>-1.2894575835607895</v>
      </c>
      <c r="K93" s="350">
        <v>-6.9365279551843315</v>
      </c>
      <c r="L93" s="350">
        <v>-17.875300262362913</v>
      </c>
      <c r="M93" s="350">
        <v>-2.1083103518665638</v>
      </c>
      <c r="N93" s="361">
        <v>-6.3132852532856418</v>
      </c>
      <c r="O93" s="361">
        <v>-19.048209093917819</v>
      </c>
      <c r="P93" s="361">
        <v>-1.5002901240869164</v>
      </c>
      <c r="Q93" s="369">
        <v>0</v>
      </c>
      <c r="R93" s="369">
        <v>0</v>
      </c>
      <c r="S93" s="369">
        <v>0</v>
      </c>
      <c r="T93" s="375">
        <v>-3.4285714285714306</v>
      </c>
      <c r="U93" s="375">
        <v>-13.742093328559491</v>
      </c>
      <c r="V93" s="375">
        <v>-0.2857142857142918</v>
      </c>
      <c r="W93" s="385">
        <v>-4.8571428571428612</v>
      </c>
      <c r="X93" s="385">
        <v>-17.228512457614627</v>
      </c>
      <c r="Y93" s="385">
        <v>-0.56332006486805142</v>
      </c>
      <c r="Z93" s="640">
        <v>88.712489335596061</v>
      </c>
      <c r="AA93" s="640">
        <v>5.1003375495563272</v>
      </c>
      <c r="AB93" s="640">
        <v>6.1871731148476155</v>
      </c>
      <c r="AC93" s="343">
        <v>11.287510664403943</v>
      </c>
      <c r="AE93" s="323">
        <v>3.0824229243044954</v>
      </c>
      <c r="AF93" s="323">
        <v>15.766989910496349</v>
      </c>
      <c r="AG93" s="323">
        <v>17.547918969830903</v>
      </c>
      <c r="AH93" s="635">
        <v>8754.9375</v>
      </c>
    </row>
    <row r="94" spans="1:34" ht="18" customHeight="1" x14ac:dyDescent="0.3">
      <c r="A94" s="41" t="s">
        <v>88</v>
      </c>
      <c r="B94" s="41" t="s">
        <v>89</v>
      </c>
      <c r="C94" s="41" t="s">
        <v>130</v>
      </c>
      <c r="D94" s="64" t="s">
        <v>131</v>
      </c>
      <c r="E94" s="323"/>
      <c r="F94" s="125" t="s">
        <v>346</v>
      </c>
      <c r="G94" s="324" t="s">
        <v>227</v>
      </c>
      <c r="H94" s="54">
        <v>-10.615348199803634</v>
      </c>
      <c r="I94" s="54">
        <v>-15.463111935199336</v>
      </c>
      <c r="J94" s="54">
        <v>-5.7227081798717165</v>
      </c>
      <c r="K94" s="350">
        <v>-24.165106436838244</v>
      </c>
      <c r="L94" s="350">
        <v>-36.622513542604871</v>
      </c>
      <c r="M94" s="350">
        <v>-10.547133456456763</v>
      </c>
      <c r="N94" s="361">
        <v>-23.414996544955841</v>
      </c>
      <c r="O94" s="361">
        <v>-39.415608406930438</v>
      </c>
      <c r="P94" s="361">
        <v>-9.0153166836360725</v>
      </c>
      <c r="Q94" s="369">
        <v>0</v>
      </c>
      <c r="R94" s="369">
        <v>0</v>
      </c>
      <c r="S94" s="369">
        <v>0</v>
      </c>
      <c r="T94" s="375">
        <v>-11.5</v>
      </c>
      <c r="U94" s="375">
        <v>-19.442077415761631</v>
      </c>
      <c r="V94" s="375">
        <v>-1.3613199665831246</v>
      </c>
      <c r="W94" s="385">
        <v>-14.666666666666671</v>
      </c>
      <c r="X94" s="385">
        <v>-29.591339459760519</v>
      </c>
      <c r="Y94" s="385">
        <v>-3.9060150375939884</v>
      </c>
      <c r="Z94" s="640">
        <v>61.592302233061126</v>
      </c>
      <c r="AA94" s="640">
        <v>25.005434232445694</v>
      </c>
      <c r="AB94" s="640">
        <v>13.402263534493178</v>
      </c>
      <c r="AC94" s="343">
        <v>38.407697766938874</v>
      </c>
      <c r="AE94" s="323">
        <v>9.7404037553276197</v>
      </c>
      <c r="AF94" s="323">
        <v>26.075380086148108</v>
      </c>
      <c r="AG94" s="323">
        <v>30.400291723294366</v>
      </c>
      <c r="AH94" s="635">
        <v>253.3125</v>
      </c>
    </row>
    <row r="95" spans="1:34" ht="18" customHeight="1" x14ac:dyDescent="0.3">
      <c r="A95" s="41" t="s">
        <v>88</v>
      </c>
      <c r="B95" s="41" t="s">
        <v>89</v>
      </c>
      <c r="C95" s="41" t="s">
        <v>132</v>
      </c>
      <c r="D95" s="64" t="s">
        <v>133</v>
      </c>
      <c r="E95" s="323"/>
      <c r="F95" s="125" t="s">
        <v>346</v>
      </c>
      <c r="G95" s="324" t="s">
        <v>227</v>
      </c>
      <c r="H95" s="54">
        <v>-38.105667984921979</v>
      </c>
      <c r="I95" s="54">
        <v>-50.722871349409772</v>
      </c>
      <c r="J95" s="54">
        <v>-24.104676093472278</v>
      </c>
      <c r="K95" s="350">
        <v>-53.994488321048081</v>
      </c>
      <c r="L95" s="350">
        <v>-73.835731273293064</v>
      </c>
      <c r="M95" s="350">
        <v>-35.294932055094307</v>
      </c>
      <c r="N95" s="361">
        <v>-46.276818034051367</v>
      </c>
      <c r="O95" s="361">
        <v>-64.706413237997907</v>
      </c>
      <c r="P95" s="361">
        <v>-25.545159572697685</v>
      </c>
      <c r="Q95" s="369">
        <v>0</v>
      </c>
      <c r="R95" s="369">
        <v>0</v>
      </c>
      <c r="S95" s="369">
        <v>0</v>
      </c>
      <c r="T95" s="375">
        <v>-8.1666666666666714</v>
      </c>
      <c r="U95" s="375">
        <v>-17.830966304650516</v>
      </c>
      <c r="V95" s="375">
        <v>-0.89835700362016269</v>
      </c>
      <c r="W95" s="385">
        <v>-12.833333333333329</v>
      </c>
      <c r="X95" s="385">
        <v>-26.165413533834581</v>
      </c>
      <c r="Y95" s="385">
        <v>-4.0726817042606456</v>
      </c>
      <c r="Z95" s="640">
        <v>2.2458045348999036</v>
      </c>
      <c r="AA95" s="640">
        <v>27.319842056211129</v>
      </c>
      <c r="AB95" s="640">
        <v>70.434353408888967</v>
      </c>
      <c r="AC95" s="343">
        <v>97.754195465100096</v>
      </c>
      <c r="AE95" s="323">
        <v>26.618195255937493</v>
      </c>
      <c r="AF95" s="323">
        <v>38.540799218198757</v>
      </c>
      <c r="AG95" s="323">
        <v>39.161253665300222</v>
      </c>
      <c r="AH95" s="635">
        <v>195.9375</v>
      </c>
    </row>
    <row r="96" spans="1:34" ht="18" customHeight="1" x14ac:dyDescent="0.3">
      <c r="A96" s="41" t="s">
        <v>88</v>
      </c>
      <c r="B96" s="41" t="s">
        <v>89</v>
      </c>
      <c r="C96" s="41" t="s">
        <v>134</v>
      </c>
      <c r="D96" s="64" t="s">
        <v>135</v>
      </c>
      <c r="E96" s="323"/>
      <c r="F96" s="125" t="s">
        <v>346</v>
      </c>
      <c r="G96" s="324" t="s">
        <v>227</v>
      </c>
      <c r="H96" s="54">
        <v>-25.124031008368334</v>
      </c>
      <c r="I96" s="54">
        <v>-36.808310232748909</v>
      </c>
      <c r="J96" s="54">
        <v>-12.924535016926995</v>
      </c>
      <c r="K96" s="350">
        <v>-42.164082687942795</v>
      </c>
      <c r="L96" s="350">
        <v>-61.557274590099006</v>
      </c>
      <c r="M96" s="350">
        <v>-23.472277111226163</v>
      </c>
      <c r="N96" s="361">
        <v>-34.864341085815198</v>
      </c>
      <c r="O96" s="361">
        <v>-49.570713212757624</v>
      </c>
      <c r="P96" s="361">
        <v>-14.98738530774358</v>
      </c>
      <c r="Q96" s="369">
        <v>0</v>
      </c>
      <c r="R96" s="369">
        <v>0</v>
      </c>
      <c r="S96" s="369">
        <v>0</v>
      </c>
      <c r="T96" s="375">
        <v>-9.8333333333333286</v>
      </c>
      <c r="U96" s="375">
        <v>-19.973823447507655</v>
      </c>
      <c r="V96" s="375">
        <v>-1.1364522417153893</v>
      </c>
      <c r="W96" s="385">
        <v>-14.5</v>
      </c>
      <c r="X96" s="385">
        <v>-32.474937343358391</v>
      </c>
      <c r="Y96" s="385">
        <v>-3.5964912280701782</v>
      </c>
      <c r="Z96" s="640">
        <v>0</v>
      </c>
      <c r="AA96" s="640">
        <v>74.677002581562135</v>
      </c>
      <c r="AB96" s="640">
        <v>25.322997418437858</v>
      </c>
      <c r="AC96" s="343">
        <v>100</v>
      </c>
      <c r="AE96" s="323">
        <v>23.883775215821913</v>
      </c>
      <c r="AF96" s="323">
        <v>38.084997478872843</v>
      </c>
      <c r="AG96" s="323">
        <v>34.583327905014045</v>
      </c>
      <c r="AH96" s="635">
        <v>184.5625</v>
      </c>
    </row>
    <row r="97" spans="1:56" ht="18" customHeight="1" x14ac:dyDescent="0.3">
      <c r="A97" s="41" t="s">
        <v>88</v>
      </c>
      <c r="B97" s="41" t="s">
        <v>89</v>
      </c>
      <c r="C97" s="41" t="s">
        <v>136</v>
      </c>
      <c r="D97" s="64" t="s">
        <v>137</v>
      </c>
      <c r="E97" s="323"/>
      <c r="F97" s="125" t="s">
        <v>201</v>
      </c>
      <c r="G97" s="125"/>
      <c r="H97" s="54">
        <v>-19.589523064504164</v>
      </c>
      <c r="I97" s="54">
        <v>-32.25147353651451</v>
      </c>
      <c r="J97" s="54">
        <v>-10.149028910205516</v>
      </c>
      <c r="K97" s="350">
        <v>-33.311403998094235</v>
      </c>
      <c r="L97" s="350">
        <v>-49.868133302757322</v>
      </c>
      <c r="M97" s="350">
        <v>-17.762864568130027</v>
      </c>
      <c r="N97" s="361">
        <v>-21.883614430502234</v>
      </c>
      <c r="O97" s="361">
        <v>-37.255925921754077</v>
      </c>
      <c r="P97" s="361">
        <v>-5.4945576433503334</v>
      </c>
      <c r="Q97" s="369">
        <v>0</v>
      </c>
      <c r="R97" s="369">
        <v>0</v>
      </c>
      <c r="S97" s="369">
        <v>0</v>
      </c>
      <c r="T97" s="375">
        <v>-8.4285714285714306</v>
      </c>
      <c r="U97" s="375">
        <v>-19.569399689700447</v>
      </c>
      <c r="V97" s="375">
        <v>-2.1720969089386699E-2</v>
      </c>
      <c r="W97" s="385">
        <v>-6</v>
      </c>
      <c r="X97" s="385">
        <v>-24.862871464375218</v>
      </c>
      <c r="Y97" s="385">
        <v>0.2778374507697805</v>
      </c>
      <c r="Z97" s="640">
        <v>24.628616107021685</v>
      </c>
      <c r="AA97" s="640">
        <v>45.269741986921666</v>
      </c>
      <c r="AB97" s="640">
        <v>30.101641906056649</v>
      </c>
      <c r="AC97" s="343">
        <v>75.371383892978315</v>
      </c>
      <c r="AE97" s="323">
        <v>22.102444626308994</v>
      </c>
      <c r="AF97" s="323">
        <v>32.105268734627295</v>
      </c>
      <c r="AG97" s="323">
        <v>31.761368278403744</v>
      </c>
      <c r="AH97" s="635">
        <v>3572.4375</v>
      </c>
    </row>
    <row r="98" spans="1:56" ht="18" customHeight="1" x14ac:dyDescent="0.3">
      <c r="A98" s="41" t="s">
        <v>88</v>
      </c>
      <c r="B98" s="41" t="s">
        <v>89</v>
      </c>
      <c r="C98" s="41" t="s">
        <v>139</v>
      </c>
      <c r="D98" s="64" t="s">
        <v>140</v>
      </c>
      <c r="E98" s="323"/>
      <c r="F98" s="125" t="s">
        <v>187</v>
      </c>
      <c r="G98" s="125"/>
      <c r="H98" s="54">
        <v>-10.88866360431031</v>
      </c>
      <c r="I98" s="54">
        <v>-21.991203204649196</v>
      </c>
      <c r="J98" s="54">
        <v>-6.0671067418114148</v>
      </c>
      <c r="K98" s="350">
        <v>-19.144231979290453</v>
      </c>
      <c r="L98" s="350">
        <v>-32.615862883142583</v>
      </c>
      <c r="M98" s="350">
        <v>-7.4703998686604649</v>
      </c>
      <c r="N98" s="361">
        <v>-11.530257649043492</v>
      </c>
      <c r="O98" s="361">
        <v>-26.824516868473424</v>
      </c>
      <c r="P98" s="361">
        <v>-5.0207958289554568</v>
      </c>
      <c r="Q98" s="369">
        <v>0</v>
      </c>
      <c r="R98" s="369">
        <v>0</v>
      </c>
      <c r="S98" s="369">
        <v>0</v>
      </c>
      <c r="T98" s="375">
        <v>-3.4285714285714306</v>
      </c>
      <c r="U98" s="375">
        <v>-15.170664757130922</v>
      </c>
      <c r="V98" s="375">
        <v>0.53061224489795222</v>
      </c>
      <c r="W98" s="385">
        <v>-3.5714285714285694</v>
      </c>
      <c r="X98" s="385">
        <v>-19.10526315789474</v>
      </c>
      <c r="Y98" s="385">
        <v>0.11361737677526662</v>
      </c>
      <c r="Z98" s="640">
        <v>41.136372012208788</v>
      </c>
      <c r="AA98" s="640">
        <v>25.305079235406286</v>
      </c>
      <c r="AB98" s="640">
        <v>33.55854875238493</v>
      </c>
      <c r="AC98" s="343">
        <v>58.863627987791219</v>
      </c>
      <c r="AE98" s="323">
        <v>15.924096462837781</v>
      </c>
      <c r="AF98" s="323">
        <v>25.145463014482118</v>
      </c>
      <c r="AG98" s="323">
        <v>21.803721039517967</v>
      </c>
      <c r="AH98" s="635">
        <v>7000.5625</v>
      </c>
    </row>
    <row r="99" spans="1:56" ht="18" customHeight="1" x14ac:dyDescent="0.3">
      <c r="A99" s="41" t="s">
        <v>88</v>
      </c>
      <c r="B99" s="41" t="s">
        <v>89</v>
      </c>
      <c r="C99" s="41" t="s">
        <v>141</v>
      </c>
      <c r="D99" s="64" t="s">
        <v>142</v>
      </c>
      <c r="E99" s="323"/>
      <c r="F99" s="125" t="s">
        <v>188</v>
      </c>
      <c r="G99" s="125"/>
      <c r="H99" s="54">
        <v>-8.2892153025914865</v>
      </c>
      <c r="I99" s="54">
        <v>-15.47689558563674</v>
      </c>
      <c r="J99" s="54">
        <v>-3.3990475055555436</v>
      </c>
      <c r="K99" s="350">
        <v>-14.701839511074084</v>
      </c>
      <c r="L99" s="350">
        <v>-27.082510412930503</v>
      </c>
      <c r="M99" s="350">
        <v>-3.548256236651838</v>
      </c>
      <c r="N99" s="361">
        <v>-6.9751846512332918</v>
      </c>
      <c r="O99" s="361">
        <v>-23.993975511628079</v>
      </c>
      <c r="P99" s="361">
        <v>-0.17242512653527342</v>
      </c>
      <c r="Q99" s="369">
        <v>0</v>
      </c>
      <c r="R99" s="369">
        <v>0</v>
      </c>
      <c r="S99" s="369">
        <v>0</v>
      </c>
      <c r="T99" s="375">
        <v>-4.4285714285714306</v>
      </c>
      <c r="U99" s="375">
        <v>-15.884950471416644</v>
      </c>
      <c r="V99" s="375">
        <v>2.9024943310657534</v>
      </c>
      <c r="W99" s="385">
        <v>-2.1428571428571388</v>
      </c>
      <c r="X99" s="385">
        <v>-21.792337987826699</v>
      </c>
      <c r="Y99" s="385">
        <v>3.0161117078410342</v>
      </c>
      <c r="Z99" s="640">
        <v>56.788902572308409</v>
      </c>
      <c r="AA99" s="640">
        <v>30.045040590994581</v>
      </c>
      <c r="AB99" s="640">
        <v>13.166056836697019</v>
      </c>
      <c r="AC99" s="343">
        <v>43.211097427691598</v>
      </c>
      <c r="AE99" s="323">
        <v>12.077848080081196</v>
      </c>
      <c r="AF99" s="323">
        <v>23.534254176278665</v>
      </c>
      <c r="AG99" s="323">
        <v>23.821550385092806</v>
      </c>
      <c r="AH99" s="635">
        <v>19258.9375</v>
      </c>
    </row>
    <row r="100" spans="1:56" ht="18" customHeight="1" x14ac:dyDescent="0.3">
      <c r="A100" s="41" t="s">
        <v>88</v>
      </c>
      <c r="B100" s="41" t="s">
        <v>89</v>
      </c>
      <c r="C100" s="41" t="s">
        <v>143</v>
      </c>
      <c r="D100" s="64" t="s">
        <v>144</v>
      </c>
      <c r="E100" s="323"/>
      <c r="F100" s="309" t="s">
        <v>201</v>
      </c>
      <c r="H100" s="349"/>
      <c r="I100" s="349"/>
      <c r="J100" s="349"/>
      <c r="K100" s="357"/>
      <c r="L100" s="357"/>
      <c r="M100" s="357"/>
      <c r="N100" s="364"/>
      <c r="O100" s="364"/>
      <c r="P100" s="364"/>
      <c r="Q100" s="370"/>
      <c r="R100" s="370"/>
      <c r="S100" s="370"/>
      <c r="T100" s="376"/>
      <c r="U100" s="376"/>
      <c r="V100" s="376"/>
      <c r="W100" s="386"/>
      <c r="X100" s="386"/>
      <c r="Y100" s="386"/>
      <c r="Z100" s="640">
        <v>83.627608346312925</v>
      </c>
      <c r="AA100" s="640">
        <v>7.133939718517265</v>
      </c>
      <c r="AB100" s="640">
        <v>9.2384519351698042</v>
      </c>
      <c r="AC100" s="343">
        <v>16.372391653687068</v>
      </c>
      <c r="AH100" s="635">
        <v>351.375</v>
      </c>
    </row>
    <row r="101" spans="1:56" ht="18" customHeight="1" x14ac:dyDescent="0.3">
      <c r="A101" s="41" t="s">
        <v>88</v>
      </c>
      <c r="B101" s="41" t="s">
        <v>89</v>
      </c>
      <c r="C101" s="41" t="s">
        <v>145</v>
      </c>
      <c r="D101" s="64" t="s">
        <v>146</v>
      </c>
      <c r="E101" s="323"/>
      <c r="F101" s="309" t="s">
        <v>188</v>
      </c>
      <c r="H101" s="349"/>
      <c r="I101" s="349"/>
      <c r="J101" s="349"/>
      <c r="K101" s="357"/>
      <c r="L101" s="357"/>
      <c r="M101" s="357"/>
      <c r="N101" s="364"/>
      <c r="O101" s="364"/>
      <c r="P101" s="364"/>
      <c r="Q101" s="370"/>
      <c r="R101" s="370"/>
      <c r="S101" s="370"/>
      <c r="T101" s="376"/>
      <c r="U101" s="376"/>
      <c r="V101" s="376"/>
      <c r="W101" s="386"/>
      <c r="X101" s="386"/>
      <c r="Y101" s="386"/>
      <c r="Z101" s="640">
        <v>73.457333416811181</v>
      </c>
      <c r="AA101" s="640">
        <v>19.810674954114347</v>
      </c>
      <c r="AB101" s="640">
        <v>6.7319916290744759</v>
      </c>
      <c r="AC101" s="343">
        <v>26.542666583188822</v>
      </c>
      <c r="AH101" s="635">
        <v>3212.25</v>
      </c>
    </row>
    <row r="102" spans="1:56" ht="18" customHeight="1" x14ac:dyDescent="0.3">
      <c r="A102" s="41" t="s">
        <v>88</v>
      </c>
      <c r="B102" s="41" t="s">
        <v>89</v>
      </c>
      <c r="C102" s="41" t="s">
        <v>147</v>
      </c>
      <c r="D102" s="64" t="s">
        <v>148</v>
      </c>
      <c r="E102" s="323"/>
      <c r="F102" s="309" t="s">
        <v>201</v>
      </c>
      <c r="H102" s="349"/>
      <c r="I102" s="349"/>
      <c r="J102" s="349"/>
      <c r="K102" s="357"/>
      <c r="L102" s="357"/>
      <c r="M102" s="357"/>
      <c r="N102" s="364"/>
      <c r="O102" s="364"/>
      <c r="P102" s="364"/>
      <c r="Q102" s="370"/>
      <c r="R102" s="370"/>
      <c r="S102" s="370"/>
      <c r="T102" s="376"/>
      <c r="U102" s="376"/>
      <c r="V102" s="376"/>
      <c r="W102" s="386"/>
      <c r="X102" s="386"/>
      <c r="Y102" s="386"/>
      <c r="Z102" s="640">
        <v>92.163090684337291</v>
      </c>
      <c r="AA102" s="640">
        <v>2.8975173404165822</v>
      </c>
      <c r="AB102" s="640">
        <v>4.9393919752461217</v>
      </c>
      <c r="AC102" s="343">
        <v>7.8369093156627034</v>
      </c>
      <c r="AH102" s="635">
        <v>966.375</v>
      </c>
    </row>
    <row r="103" spans="1:56" ht="18" customHeight="1" x14ac:dyDescent="0.3">
      <c r="A103" s="41" t="s">
        <v>88</v>
      </c>
      <c r="B103" s="41" t="s">
        <v>89</v>
      </c>
      <c r="C103" s="41" t="s">
        <v>149</v>
      </c>
      <c r="D103" s="64" t="s">
        <v>150</v>
      </c>
      <c r="E103" s="323"/>
      <c r="F103" s="309" t="s">
        <v>201</v>
      </c>
      <c r="H103" s="349"/>
      <c r="I103" s="349"/>
      <c r="J103" s="349"/>
      <c r="K103" s="357"/>
      <c r="L103" s="357"/>
      <c r="M103" s="357"/>
      <c r="N103" s="364"/>
      <c r="O103" s="364"/>
      <c r="P103" s="364"/>
      <c r="Q103" s="370"/>
      <c r="R103" s="370"/>
      <c r="S103" s="370"/>
      <c r="T103" s="376"/>
      <c r="U103" s="376"/>
      <c r="V103" s="376"/>
      <c r="W103" s="386"/>
      <c r="X103" s="386"/>
      <c r="Y103" s="386"/>
      <c r="Z103" s="640">
        <v>84.70848471688447</v>
      </c>
      <c r="AA103" s="640">
        <v>12.820483432826688</v>
      </c>
      <c r="AB103" s="640">
        <v>2.4710318502888313</v>
      </c>
      <c r="AC103" s="343">
        <v>15.291515283115519</v>
      </c>
      <c r="AH103" s="635">
        <v>4868.625</v>
      </c>
    </row>
    <row r="104" spans="1:56" ht="18" customHeight="1" x14ac:dyDescent="0.3">
      <c r="A104" s="41" t="s">
        <v>88</v>
      </c>
      <c r="B104" s="41" t="s">
        <v>89</v>
      </c>
      <c r="C104" s="41" t="s">
        <v>151</v>
      </c>
      <c r="D104" s="64" t="s">
        <v>152</v>
      </c>
      <c r="E104" s="323"/>
      <c r="F104" s="309" t="s">
        <v>188</v>
      </c>
      <c r="H104" s="349"/>
      <c r="I104" s="349"/>
      <c r="J104" s="349"/>
      <c r="K104" s="357"/>
      <c r="L104" s="357"/>
      <c r="M104" s="357"/>
      <c r="N104" s="364"/>
      <c r="O104" s="364"/>
      <c r="P104" s="364"/>
      <c r="Q104" s="370"/>
      <c r="R104" s="370"/>
      <c r="S104" s="370"/>
      <c r="T104" s="376"/>
      <c r="U104" s="376"/>
      <c r="V104" s="376"/>
      <c r="W104" s="386"/>
      <c r="X104" s="386"/>
      <c r="Y104" s="386"/>
      <c r="Z104" s="640">
        <v>91.391843293999997</v>
      </c>
      <c r="AA104" s="640">
        <v>8.2026168790000007</v>
      </c>
      <c r="AB104" s="640">
        <v>0.40553982699999996</v>
      </c>
      <c r="AC104" s="343">
        <v>8.6081567060000008</v>
      </c>
      <c r="AH104" s="635">
        <v>11471.0625</v>
      </c>
    </row>
    <row r="105" spans="1:56" ht="18" customHeight="1" x14ac:dyDescent="0.3">
      <c r="A105" s="41" t="s">
        <v>88</v>
      </c>
      <c r="B105" s="41" t="s">
        <v>89</v>
      </c>
      <c r="C105" s="41" t="s">
        <v>153</v>
      </c>
      <c r="D105" s="64" t="s">
        <v>154</v>
      </c>
      <c r="E105" s="323"/>
      <c r="F105" s="309" t="s">
        <v>188</v>
      </c>
      <c r="H105" s="349"/>
      <c r="I105" s="349"/>
      <c r="J105" s="349"/>
      <c r="K105" s="357"/>
      <c r="L105" s="357"/>
      <c r="M105" s="357"/>
      <c r="N105" s="364"/>
      <c r="O105" s="364"/>
      <c r="P105" s="364"/>
      <c r="Q105" s="370"/>
      <c r="R105" s="370"/>
      <c r="S105" s="370"/>
      <c r="T105" s="376"/>
      <c r="U105" s="376"/>
      <c r="V105" s="376"/>
      <c r="W105" s="386"/>
      <c r="X105" s="386"/>
      <c r="Y105" s="386"/>
      <c r="Z105" s="640">
        <v>41.220116880993139</v>
      </c>
      <c r="AA105" s="640">
        <v>48.399149988983645</v>
      </c>
      <c r="AB105" s="640">
        <v>10.380733130023215</v>
      </c>
      <c r="AC105" s="343">
        <v>58.779883119006861</v>
      </c>
      <c r="AH105" s="635">
        <v>24289.8125</v>
      </c>
    </row>
    <row r="106" spans="1:56" ht="18" customHeight="1" x14ac:dyDescent="0.3">
      <c r="A106" s="41" t="s">
        <v>88</v>
      </c>
      <c r="B106" s="41" t="s">
        <v>89</v>
      </c>
      <c r="C106" s="41" t="s">
        <v>155</v>
      </c>
      <c r="D106" s="64" t="s">
        <v>156</v>
      </c>
      <c r="E106" s="323"/>
      <c r="F106" s="309" t="s">
        <v>187</v>
      </c>
      <c r="H106" s="349"/>
      <c r="I106" s="349"/>
      <c r="J106" s="349"/>
      <c r="K106" s="357"/>
      <c r="L106" s="357"/>
      <c r="M106" s="357"/>
      <c r="N106" s="364"/>
      <c r="O106" s="364"/>
      <c r="P106" s="364"/>
      <c r="Q106" s="370"/>
      <c r="R106" s="370"/>
      <c r="S106" s="370"/>
      <c r="T106" s="376"/>
      <c r="U106" s="376"/>
      <c r="V106" s="376"/>
      <c r="W106" s="386"/>
      <c r="X106" s="386"/>
      <c r="Y106" s="386"/>
      <c r="Z106" s="640">
        <v>66.08897998499539</v>
      </c>
      <c r="AA106" s="640">
        <v>22.60389161370615</v>
      </c>
      <c r="AB106" s="640">
        <v>11.307128401298451</v>
      </c>
      <c r="AC106" s="343">
        <v>33.911020015004603</v>
      </c>
      <c r="AH106" s="635">
        <v>5463.8125</v>
      </c>
    </row>
    <row r="107" spans="1:56" s="600" customFormat="1" ht="18" customHeight="1" x14ac:dyDescent="0.3">
      <c r="A107" s="600" t="s">
        <v>17</v>
      </c>
      <c r="B107" s="600" t="s">
        <v>18</v>
      </c>
      <c r="C107" s="601" t="s">
        <v>51</v>
      </c>
      <c r="D107" s="601" t="s">
        <v>52</v>
      </c>
      <c r="E107" s="602"/>
      <c r="F107" s="602" t="s">
        <v>201</v>
      </c>
      <c r="G107" s="603"/>
      <c r="H107" s="611">
        <v>-3.8738616283808369E-2</v>
      </c>
      <c r="I107" s="611">
        <v>-8.6213917853854127E-2</v>
      </c>
      <c r="J107" s="611">
        <v>-5.7134334863064851E-3</v>
      </c>
      <c r="K107" s="612">
        <v>-7.1896663042000739</v>
      </c>
      <c r="L107" s="612">
        <v>-18.006042727906262</v>
      </c>
      <c r="M107" s="612">
        <v>3.9368941360242218</v>
      </c>
      <c r="N107" s="613">
        <v>-23.59564020660595</v>
      </c>
      <c r="O107" s="613">
        <v>-43.262907208554211</v>
      </c>
      <c r="P107" s="613">
        <v>12.087490641673739</v>
      </c>
      <c r="Q107" s="614">
        <v>0</v>
      </c>
      <c r="R107" s="614">
        <v>0</v>
      </c>
      <c r="S107" s="614">
        <v>0</v>
      </c>
      <c r="T107" s="615">
        <v>-7.1428571428571388</v>
      </c>
      <c r="U107" s="615">
        <v>-17.936507936507937</v>
      </c>
      <c r="V107" s="615">
        <v>3.9682539682539755</v>
      </c>
      <c r="W107" s="616">
        <v>-23.571428571428569</v>
      </c>
      <c r="X107" s="616">
        <v>-43.208616780045347</v>
      </c>
      <c r="Y107" s="616">
        <v>12.142857142857139</v>
      </c>
      <c r="Z107" s="641">
        <v>99.774024738344437</v>
      </c>
      <c r="AA107" s="640">
        <v>0.225975261655566</v>
      </c>
      <c r="AB107" s="640">
        <v>0</v>
      </c>
      <c r="AC107" s="610">
        <v>0.225975261655566</v>
      </c>
      <c r="AE107" s="602">
        <v>8.0500484367547642E-2</v>
      </c>
      <c r="AF107" s="602">
        <v>21.942936863930484</v>
      </c>
      <c r="AG107" s="602">
        <v>55.350397850227949</v>
      </c>
      <c r="AH107" s="645">
        <v>1578.75</v>
      </c>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row>
    <row r="108" spans="1:56" s="600" customFormat="1" ht="18" customHeight="1" x14ac:dyDescent="0.3">
      <c r="A108" s="600" t="s">
        <v>17</v>
      </c>
      <c r="B108" s="600" t="s">
        <v>21</v>
      </c>
      <c r="C108" s="601" t="s">
        <v>26</v>
      </c>
      <c r="D108" s="601" t="s">
        <v>27</v>
      </c>
      <c r="E108" s="602"/>
      <c r="F108" s="602" t="s">
        <v>227</v>
      </c>
      <c r="G108" s="603" t="s">
        <v>227</v>
      </c>
      <c r="H108" s="611">
        <v>-35.149277688603505</v>
      </c>
      <c r="I108" s="611">
        <v>-62.923896150220365</v>
      </c>
      <c r="J108" s="611">
        <v>-19.035083696399866</v>
      </c>
      <c r="K108" s="612">
        <v>-49.178170144462257</v>
      </c>
      <c r="L108" s="612">
        <v>-84.334969043797287</v>
      </c>
      <c r="M108" s="612">
        <v>-29.740380646640645</v>
      </c>
      <c r="N108" s="613">
        <v>-56.577849117174942</v>
      </c>
      <c r="O108" s="613">
        <v>-94.747443246961694</v>
      </c>
      <c r="P108" s="613">
        <v>-37.607796376977738</v>
      </c>
      <c r="Q108" s="614">
        <v>0</v>
      </c>
      <c r="R108" s="614">
        <v>0</v>
      </c>
      <c r="S108" s="614">
        <v>0</v>
      </c>
      <c r="T108" s="615">
        <v>-12.142857142857139</v>
      </c>
      <c r="U108" s="615">
        <v>-26.1111111111111</v>
      </c>
      <c r="V108" s="615">
        <v>-0.87301587301587347</v>
      </c>
      <c r="W108" s="616">
        <v>-30</v>
      </c>
      <c r="X108" s="616">
        <v>-57.714285714285715</v>
      </c>
      <c r="Y108" s="616">
        <v>-9.5714285714285694</v>
      </c>
      <c r="Z108" s="641">
        <v>0</v>
      </c>
      <c r="AA108" s="640">
        <v>3.5955056179775302</v>
      </c>
      <c r="AB108" s="640">
        <v>96.404494382022506</v>
      </c>
      <c r="AC108" s="610">
        <v>100.00000000000004</v>
      </c>
      <c r="AE108" s="602">
        <v>43.888812453820499</v>
      </c>
      <c r="AF108" s="602">
        <v>54.594588397156642</v>
      </c>
      <c r="AG108" s="602">
        <v>57.139646869983956</v>
      </c>
      <c r="AH108" s="645">
        <v>27.9375</v>
      </c>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row>
    <row r="109" spans="1:56" s="109" customFormat="1" ht="18" customHeight="1" x14ac:dyDescent="0.3">
      <c r="A109" s="109" t="s">
        <v>17</v>
      </c>
      <c r="B109" s="109" t="s">
        <v>21</v>
      </c>
      <c r="C109" s="637" t="s">
        <v>47</v>
      </c>
      <c r="D109" s="637" t="s">
        <v>48</v>
      </c>
      <c r="E109" s="602"/>
      <c r="F109" s="602" t="s">
        <v>227</v>
      </c>
      <c r="G109" s="603" t="s">
        <v>227</v>
      </c>
      <c r="H109" s="611">
        <f>VLOOKUP($C109,[1]FireNoFire!$A$3:$I$18,3,FALSE)</f>
        <v>-18.571428571428569</v>
      </c>
      <c r="I109" s="611">
        <f>VLOOKUP($C109,[1]FireNoFire!$A$3:$I$18,4,FALSE)</f>
        <v>-31.902494331065753</v>
      </c>
      <c r="J109" s="611">
        <f>VLOOKUP($C109,[1]FireNoFire!$A$3:$I$18,5,FALSE)</f>
        <v>-10.160997732426296</v>
      </c>
      <c r="K109" s="612">
        <f>VLOOKUP($C109,[1]FireNoFire!$A$19:$I$34,3,FALSE)</f>
        <v>-30.357142857142861</v>
      </c>
      <c r="L109" s="612">
        <f>VLOOKUP($C109,[1]FireNoFire!$A$19:$I$34,4,FALSE)</f>
        <v>-55.320861678004533</v>
      </c>
      <c r="M109" s="612">
        <f>VLOOKUP($C109,[1]FireNoFire!$A$19:$I$34,5,FALSE)</f>
        <v>-14.98526077097506</v>
      </c>
      <c r="N109" s="613">
        <f>VLOOKUP($C109,[1]FireNoFire!$A$35:$I$50,3,FALSE)</f>
        <v>-41.071428571428569</v>
      </c>
      <c r="O109" s="613">
        <f>VLOOKUP($C109,[1]FireNoFire!$A$35:$I$50,4,FALSE)</f>
        <v>-75.65306122448979</v>
      </c>
      <c r="P109" s="613">
        <f>VLOOKUP($C109,[1]FireNoFire!$A$35:$I$50,5,FALSE)</f>
        <v>-20.867346938775512</v>
      </c>
      <c r="Q109" s="614">
        <f>VLOOKUP($C109,[1]FireNoFire!$A$3:$I$18,7,FALSE)</f>
        <v>0</v>
      </c>
      <c r="R109" s="614">
        <f>VLOOKUP($C109,[1]FireNoFire!$A$3:$I$18,8,FALSE)</f>
        <v>0</v>
      </c>
      <c r="S109" s="614">
        <f>VLOOKUP($C109,[1]FireNoFire!$A$3:$I$18,9,FALSE)</f>
        <v>0</v>
      </c>
      <c r="T109" s="615">
        <f>VLOOKUP($C109,[1]FireNoFire!$A$19:$I$34,7,FALSE)</f>
        <v>-8.5714285714285694</v>
      </c>
      <c r="U109" s="615">
        <f>VLOOKUP($C109,[1]FireNoFire!$A$19:$I$34,8,FALSE)</f>
        <v>-28.253968253968253</v>
      </c>
      <c r="V109" s="615">
        <f>VLOOKUP($C109,[1]FireNoFire!$A$19:$I$34,9,FALSE)</f>
        <v>1.1111111111111143</v>
      </c>
      <c r="W109" s="616">
        <f>VLOOKUP($C109,[1]FireNoFire!$A$35:$I$50,7,FALSE)</f>
        <v>-25</v>
      </c>
      <c r="X109" s="616">
        <f>VLOOKUP($C109,[1]FireNoFire!$A$35:$I$50,8,FALSE)</f>
        <v>-60.285714285714285</v>
      </c>
      <c r="Y109" s="616">
        <f>VLOOKUP($C109,[1]FireNoFire!$A$35:$I$50,9,FALSE)</f>
        <v>-5.2857142857142776</v>
      </c>
      <c r="Z109" s="641">
        <v>50</v>
      </c>
      <c r="AA109" s="640">
        <v>0</v>
      </c>
      <c r="AB109" s="640">
        <v>50</v>
      </c>
      <c r="AC109" s="610">
        <v>50</v>
      </c>
      <c r="AE109" s="602">
        <v>21.741496598639458</v>
      </c>
      <c r="AF109" s="602">
        <v>40.335600907029473</v>
      </c>
      <c r="AG109" s="602">
        <v>54.785714285714278</v>
      </c>
      <c r="AH109" s="645">
        <v>15.75</v>
      </c>
    </row>
    <row r="110" spans="1:56" s="600" customFormat="1" ht="18" customHeight="1" x14ac:dyDescent="0.3">
      <c r="A110" s="600" t="s">
        <v>17</v>
      </c>
      <c r="B110" s="600" t="s">
        <v>21</v>
      </c>
      <c r="C110" s="601" t="s">
        <v>38</v>
      </c>
      <c r="D110" s="601" t="s">
        <v>39</v>
      </c>
      <c r="E110" s="602"/>
      <c r="F110" s="602" t="s">
        <v>227</v>
      </c>
      <c r="G110" s="603" t="s">
        <v>227</v>
      </c>
      <c r="H110" s="611">
        <v>-35.150452819164471</v>
      </c>
      <c r="I110" s="611">
        <v>-60.101924887200958</v>
      </c>
      <c r="J110" s="611">
        <v>-19.496867595027112</v>
      </c>
      <c r="K110" s="612">
        <v>-48.973122991527902</v>
      </c>
      <c r="L110" s="612">
        <v>-78.602590320381722</v>
      </c>
      <c r="M110" s="612">
        <v>-27.557211023468696</v>
      </c>
      <c r="N110" s="613">
        <v>-58.439964943032422</v>
      </c>
      <c r="O110" s="613">
        <v>-90.202217492313892</v>
      </c>
      <c r="P110" s="613">
        <v>-39.156685168955107</v>
      </c>
      <c r="Q110" s="614">
        <v>0</v>
      </c>
      <c r="R110" s="614">
        <v>0</v>
      </c>
      <c r="S110" s="614">
        <v>0</v>
      </c>
      <c r="T110" s="615">
        <v>-10.714285714285708</v>
      </c>
      <c r="U110" s="615">
        <v>-29.19047619047619</v>
      </c>
      <c r="V110" s="615">
        <v>2.9206349206349245</v>
      </c>
      <c r="W110" s="616">
        <v>-25.714285714285708</v>
      </c>
      <c r="X110" s="616">
        <v>-60.476190476190467</v>
      </c>
      <c r="Y110" s="616">
        <v>-5.2380952380952408</v>
      </c>
      <c r="Z110" s="641">
        <v>0</v>
      </c>
      <c r="AA110" s="640">
        <v>12.678936605317</v>
      </c>
      <c r="AB110" s="640">
        <v>87.321063394682994</v>
      </c>
      <c r="AC110" s="610">
        <v>100</v>
      </c>
      <c r="AE110" s="602">
        <v>40.605057292173846</v>
      </c>
      <c r="AF110" s="602">
        <v>51.045379296913026</v>
      </c>
      <c r="AG110" s="602">
        <v>51.045532323358785</v>
      </c>
      <c r="AH110" s="645">
        <v>30.4375</v>
      </c>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row>
    <row r="111" spans="1:56" s="600" customFormat="1" ht="18" customHeight="1" x14ac:dyDescent="0.3">
      <c r="A111" s="600" t="s">
        <v>17</v>
      </c>
      <c r="B111" s="600" t="s">
        <v>21</v>
      </c>
      <c r="C111" s="601" t="s">
        <v>24</v>
      </c>
      <c r="D111" s="601" t="s">
        <v>25</v>
      </c>
      <c r="E111" s="602"/>
      <c r="F111" s="602" t="s">
        <v>227</v>
      </c>
      <c r="G111" s="603" t="s">
        <v>227</v>
      </c>
      <c r="H111" s="611">
        <v>-10.524075552008512</v>
      </c>
      <c r="I111" s="611">
        <v>-17.890860875697257</v>
      </c>
      <c r="J111" s="611">
        <v>-5.9513463982737846</v>
      </c>
      <c r="K111" s="612">
        <v>-23.446395317903679</v>
      </c>
      <c r="L111" s="612">
        <v>-42.145390744752255</v>
      </c>
      <c r="M111" s="612">
        <v>-8.9997973118483827</v>
      </c>
      <c r="N111" s="613">
        <v>-37.850492152168123</v>
      </c>
      <c r="O111" s="613">
        <v>-66.752733123044365</v>
      </c>
      <c r="P111" s="613">
        <v>-15.856142084394264</v>
      </c>
      <c r="Q111" s="614">
        <v>0</v>
      </c>
      <c r="R111" s="614">
        <v>0</v>
      </c>
      <c r="S111" s="614">
        <v>0</v>
      </c>
      <c r="T111" s="615">
        <v>-12.142857142857139</v>
      </c>
      <c r="U111" s="615">
        <v>-26.428571428571416</v>
      </c>
      <c r="V111" s="615">
        <v>-0.79365079365078373</v>
      </c>
      <c r="W111" s="616">
        <v>-28.571428571428569</v>
      </c>
      <c r="X111" s="616">
        <v>-55.714285714285708</v>
      </c>
      <c r="Y111" s="616">
        <v>-5.952380952380949</v>
      </c>
      <c r="Z111" s="641">
        <v>71.508379888268166</v>
      </c>
      <c r="AA111" s="640">
        <v>0.37243947858472998</v>
      </c>
      <c r="AB111" s="640">
        <v>28.119180633147099</v>
      </c>
      <c r="AC111" s="610">
        <v>28.49162011173183</v>
      </c>
      <c r="AE111" s="602">
        <v>11.939514477423472</v>
      </c>
      <c r="AF111" s="602">
        <v>33.145593432903873</v>
      </c>
      <c r="AG111" s="602">
        <v>50.896591038650101</v>
      </c>
      <c r="AH111" s="645">
        <v>33.4375</v>
      </c>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row>
    <row r="112" spans="1:56" s="600" customFormat="1" ht="18" customHeight="1" x14ac:dyDescent="0.3">
      <c r="A112" s="600" t="s">
        <v>17</v>
      </c>
      <c r="B112" s="600" t="s">
        <v>21</v>
      </c>
      <c r="C112" s="601" t="s">
        <v>31</v>
      </c>
      <c r="D112" s="601" t="s">
        <v>32</v>
      </c>
      <c r="E112" s="602" t="s">
        <v>227</v>
      </c>
      <c r="F112" s="602" t="s">
        <v>227</v>
      </c>
      <c r="G112" s="603" t="s">
        <v>187</v>
      </c>
      <c r="H112" s="611">
        <v>-1.307202514426848</v>
      </c>
      <c r="I112" s="611">
        <v>-2.1828270441342994</v>
      </c>
      <c r="J112" s="611">
        <v>-0.58868787947187684</v>
      </c>
      <c r="K112" s="612">
        <v>-9.1536209882217605</v>
      </c>
      <c r="L112" s="612">
        <v>-30.555386174705404</v>
      </c>
      <c r="M112" s="612">
        <v>3.7830539709952973</v>
      </c>
      <c r="N112" s="613">
        <v>-25.940960180503907</v>
      </c>
      <c r="O112" s="613">
        <v>-52.901462128512655</v>
      </c>
      <c r="P112" s="613">
        <v>5.5866588096354519</v>
      </c>
      <c r="Q112" s="614">
        <v>0</v>
      </c>
      <c r="R112" s="614">
        <v>0</v>
      </c>
      <c r="S112" s="614">
        <v>0</v>
      </c>
      <c r="T112" s="615">
        <v>-7.8571428571428612</v>
      </c>
      <c r="U112" s="615">
        <v>-29.043083900226762</v>
      </c>
      <c r="V112" s="615">
        <v>4.5986394557823047</v>
      </c>
      <c r="W112" s="616">
        <v>-25</v>
      </c>
      <c r="X112" s="616">
        <v>-51.741496598639458</v>
      </c>
      <c r="Y112" s="616">
        <v>6.4353741496598644</v>
      </c>
      <c r="Z112" s="641">
        <v>96.259465080757849</v>
      </c>
      <c r="AA112" s="640">
        <v>1.11956062526405</v>
      </c>
      <c r="AB112" s="640">
        <v>2.6209742939781</v>
      </c>
      <c r="AC112" s="610">
        <v>3.7405349192421502</v>
      </c>
      <c r="AE112" s="602">
        <v>1.5941391646624226</v>
      </c>
      <c r="AF112" s="602">
        <v>34.338440145700702</v>
      </c>
      <c r="AG112" s="602">
        <v>58.488120938148107</v>
      </c>
      <c r="AH112" s="645">
        <v>3879.5</v>
      </c>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row>
    <row r="113" spans="1:56" s="600" customFormat="1" ht="18" customHeight="1" x14ac:dyDescent="0.3">
      <c r="A113" s="600" t="s">
        <v>17</v>
      </c>
      <c r="B113" s="600" t="s">
        <v>21</v>
      </c>
      <c r="C113" s="601" t="s">
        <v>22</v>
      </c>
      <c r="D113" s="601" t="s">
        <v>23</v>
      </c>
      <c r="E113" s="602"/>
      <c r="F113" s="602" t="s">
        <v>346</v>
      </c>
      <c r="G113" s="603"/>
      <c r="H113" s="611">
        <v>-37.012987012987018</v>
      </c>
      <c r="I113" s="611">
        <v>-66.701504844361992</v>
      </c>
      <c r="J113" s="611">
        <v>-25.79200164914451</v>
      </c>
      <c r="K113" s="612">
        <v>-51.753246753246749</v>
      </c>
      <c r="L113" s="612">
        <v>-84.692022263450838</v>
      </c>
      <c r="M113" s="612">
        <v>-34.458256029684605</v>
      </c>
      <c r="N113" s="613">
        <v>-59.805194805194809</v>
      </c>
      <c r="O113" s="613">
        <v>-93.838589981447129</v>
      </c>
      <c r="P113" s="613">
        <v>-39.863327149041439</v>
      </c>
      <c r="Q113" s="614">
        <v>0</v>
      </c>
      <c r="R113" s="614">
        <v>0</v>
      </c>
      <c r="S113" s="614">
        <v>0</v>
      </c>
      <c r="T113" s="615">
        <v>-10.714285714285708</v>
      </c>
      <c r="U113" s="615">
        <v>-30.043083900226748</v>
      </c>
      <c r="V113" s="615">
        <v>2.3945578231292615</v>
      </c>
      <c r="W113" s="616">
        <v>-35.714285714285708</v>
      </c>
      <c r="X113" s="616">
        <v>-57.904761904761898</v>
      </c>
      <c r="Y113" s="616">
        <v>-7.0204081632653015</v>
      </c>
      <c r="Z113" s="641">
        <v>0</v>
      </c>
      <c r="AA113" s="640">
        <v>9.0909090909090899</v>
      </c>
      <c r="AB113" s="640">
        <v>90.909090909090907</v>
      </c>
      <c r="AC113" s="610">
        <v>100</v>
      </c>
      <c r="AE113" s="602">
        <v>40.909503195217482</v>
      </c>
      <c r="AF113" s="602">
        <v>50.233766233766232</v>
      </c>
      <c r="AG113" s="602">
        <v>53.97526283240569</v>
      </c>
      <c r="AH113" s="645">
        <v>6.25</v>
      </c>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row>
    <row r="114" spans="1:56" s="600" customFormat="1" ht="18" customHeight="1" x14ac:dyDescent="0.3">
      <c r="A114" s="600" t="s">
        <v>17</v>
      </c>
      <c r="B114" s="600" t="s">
        <v>21</v>
      </c>
      <c r="C114" s="601" t="s">
        <v>53</v>
      </c>
      <c r="D114" s="601" t="s">
        <v>54</v>
      </c>
      <c r="E114" s="602"/>
      <c r="F114" s="602" t="s">
        <v>227</v>
      </c>
      <c r="G114" s="603"/>
      <c r="H114" s="611">
        <v>-35.510943692648269</v>
      </c>
      <c r="I114" s="611">
        <v>-64.07055804076191</v>
      </c>
      <c r="J114" s="611">
        <v>-25.156258271033153</v>
      </c>
      <c r="K114" s="612">
        <v>-54.537704859499414</v>
      </c>
      <c r="L114" s="612">
        <v>-80.851388910142077</v>
      </c>
      <c r="M114" s="612">
        <v>-37.193965114163632</v>
      </c>
      <c r="N114" s="613">
        <v>-61.066519084514582</v>
      </c>
      <c r="O114" s="613">
        <v>-90.29564037562038</v>
      </c>
      <c r="P114" s="613">
        <v>-39.156318346717171</v>
      </c>
      <c r="Q114" s="614">
        <v>0</v>
      </c>
      <c r="R114" s="614">
        <v>0</v>
      </c>
      <c r="S114" s="614">
        <v>0</v>
      </c>
      <c r="T114" s="615">
        <v>-16.428571428571431</v>
      </c>
      <c r="U114" s="615">
        <v>-31.75736961451247</v>
      </c>
      <c r="V114" s="615">
        <v>-4.8299319727891117</v>
      </c>
      <c r="W114" s="616">
        <v>-39.285714285714285</v>
      </c>
      <c r="X114" s="616">
        <v>-59.72789115646259</v>
      </c>
      <c r="Y114" s="616">
        <v>-17.732426303854879</v>
      </c>
      <c r="Z114" s="641">
        <v>8.085478630342422</v>
      </c>
      <c r="AA114" s="640">
        <v>7.9855036240939796</v>
      </c>
      <c r="AB114" s="640">
        <v>83.929017745563598</v>
      </c>
      <c r="AC114" s="610">
        <v>91.914521369657578</v>
      </c>
      <c r="AE114" s="602">
        <v>38.914299769728757</v>
      </c>
      <c r="AF114" s="602">
        <v>43.657423795978445</v>
      </c>
      <c r="AG114" s="602">
        <v>51.139322028903209</v>
      </c>
      <c r="AH114" s="645">
        <v>37.875</v>
      </c>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row>
    <row r="115" spans="1:56" s="600" customFormat="1" ht="18" customHeight="1" x14ac:dyDescent="0.3">
      <c r="A115" s="600" t="s">
        <v>17</v>
      </c>
      <c r="B115" s="600" t="s">
        <v>21</v>
      </c>
      <c r="C115" s="601" t="s">
        <v>49</v>
      </c>
      <c r="D115" s="601" t="s">
        <v>50</v>
      </c>
      <c r="E115" s="602" t="s">
        <v>714</v>
      </c>
      <c r="F115" s="602" t="s">
        <v>227</v>
      </c>
      <c r="G115" s="603" t="s">
        <v>227</v>
      </c>
      <c r="H115" s="611">
        <v>-36.428571428571431</v>
      </c>
      <c r="I115" s="611">
        <v>-61.077097505668931</v>
      </c>
      <c r="J115" s="611">
        <v>-14.002267573696145</v>
      </c>
      <c r="K115" s="612">
        <v>-50</v>
      </c>
      <c r="L115" s="612">
        <v>-81.632653061224488</v>
      </c>
      <c r="M115" s="612">
        <v>-24.795918367346943</v>
      </c>
      <c r="N115" s="613">
        <v>-52.142857142857146</v>
      </c>
      <c r="O115" s="613">
        <v>-90.578231292517017</v>
      </c>
      <c r="P115" s="613">
        <v>-27.244897959183675</v>
      </c>
      <c r="Q115" s="614">
        <v>0</v>
      </c>
      <c r="R115" s="614">
        <v>0</v>
      </c>
      <c r="S115" s="614">
        <v>0</v>
      </c>
      <c r="T115" s="615">
        <v>-10.714285714285708</v>
      </c>
      <c r="U115" s="615">
        <v>-23.095238095238088</v>
      </c>
      <c r="V115" s="615">
        <v>1.5079365079365203</v>
      </c>
      <c r="W115" s="616">
        <v>-24.285714285714292</v>
      </c>
      <c r="X115" s="616">
        <v>-48.26530612244899</v>
      </c>
      <c r="Y115" s="616">
        <v>-5.5102040816326507</v>
      </c>
      <c r="Z115" s="641">
        <v>0</v>
      </c>
      <c r="AA115" s="640">
        <v>0</v>
      </c>
      <c r="AB115" s="640">
        <v>100</v>
      </c>
      <c r="AC115" s="610">
        <v>100</v>
      </c>
      <c r="AE115" s="602">
        <v>47.074829931972786</v>
      </c>
      <c r="AF115" s="602">
        <v>56.836734693877546</v>
      </c>
      <c r="AG115" s="602">
        <v>63.333333333333343</v>
      </c>
      <c r="AH115" s="645">
        <v>1.1875</v>
      </c>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row>
    <row r="116" spans="1:56" s="600" customFormat="1" ht="18" customHeight="1" x14ac:dyDescent="0.3">
      <c r="A116" s="600" t="s">
        <v>17</v>
      </c>
      <c r="B116" s="600" t="s">
        <v>21</v>
      </c>
      <c r="C116" s="601" t="s">
        <v>45</v>
      </c>
      <c r="D116" s="601" t="s">
        <v>46</v>
      </c>
      <c r="E116" s="602"/>
      <c r="F116" s="602" t="s">
        <v>201</v>
      </c>
      <c r="G116" s="603"/>
      <c r="H116" s="611">
        <v>-11.193684633950127</v>
      </c>
      <c r="I116" s="611">
        <v>-22.252450001185807</v>
      </c>
      <c r="J116" s="611">
        <v>-4.9774661004117462</v>
      </c>
      <c r="K116" s="612">
        <v>-21.016980806803829</v>
      </c>
      <c r="L116" s="612">
        <v>-42.766590411976019</v>
      </c>
      <c r="M116" s="612">
        <v>-5.4481490906901797</v>
      </c>
      <c r="N116" s="613">
        <v>-33.654752327318718</v>
      </c>
      <c r="O116" s="613">
        <v>-62.299523590610832</v>
      </c>
      <c r="P116" s="613">
        <v>-12.472673502224708</v>
      </c>
      <c r="Q116" s="614">
        <v>0</v>
      </c>
      <c r="R116" s="614">
        <v>0</v>
      </c>
      <c r="S116" s="614">
        <v>0</v>
      </c>
      <c r="T116" s="615">
        <v>-7.1428571428571388</v>
      </c>
      <c r="U116" s="615">
        <v>-22.471655328798178</v>
      </c>
      <c r="V116" s="615">
        <v>4.9659863945578309</v>
      </c>
      <c r="W116" s="616">
        <v>-21.428571428571431</v>
      </c>
      <c r="X116" s="616">
        <v>-48.095238095238095</v>
      </c>
      <c r="Y116" s="616">
        <v>-1.6666666666666714</v>
      </c>
      <c r="Z116" s="641">
        <v>58.35679806918742</v>
      </c>
      <c r="AA116" s="640">
        <v>9.5736122284794796</v>
      </c>
      <c r="AB116" s="640">
        <v>32.069589702333097</v>
      </c>
      <c r="AC116" s="610">
        <v>41.64320193081258</v>
      </c>
      <c r="AE116" s="602">
        <v>17.27498390077406</v>
      </c>
      <c r="AF116" s="602">
        <v>37.318441321285839</v>
      </c>
      <c r="AG116" s="602">
        <v>49.826850088386124</v>
      </c>
      <c r="AH116" s="645">
        <v>1871.9375</v>
      </c>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row>
    <row r="117" spans="1:56" s="600" customFormat="1" ht="18" customHeight="1" x14ac:dyDescent="0.3">
      <c r="A117" s="600" t="s">
        <v>17</v>
      </c>
      <c r="B117" s="617" t="s">
        <v>28</v>
      </c>
      <c r="C117" s="601" t="s">
        <v>29</v>
      </c>
      <c r="D117" s="601" t="s">
        <v>30</v>
      </c>
      <c r="E117" s="602" t="s">
        <v>201</v>
      </c>
      <c r="F117" s="602" t="s">
        <v>201</v>
      </c>
      <c r="G117" s="602" t="s">
        <v>201</v>
      </c>
      <c r="H117" s="611">
        <v>-11.943952802359888</v>
      </c>
      <c r="I117" s="611">
        <v>-25.288041391581217</v>
      </c>
      <c r="J117" s="611">
        <v>-5.9533408250222521</v>
      </c>
      <c r="K117" s="612">
        <v>-19.212389380530965</v>
      </c>
      <c r="L117" s="612">
        <v>-37.438487882862084</v>
      </c>
      <c r="M117" s="612">
        <v>-5.2913899089626</v>
      </c>
      <c r="N117" s="613">
        <v>-12.032237673830593</v>
      </c>
      <c r="O117" s="613">
        <v>-43.384383842032385</v>
      </c>
      <c r="P117" s="613">
        <v>7.1699476250671523E-2</v>
      </c>
      <c r="Q117" s="614">
        <v>0</v>
      </c>
      <c r="R117" s="614">
        <v>0</v>
      </c>
      <c r="S117" s="614">
        <v>0</v>
      </c>
      <c r="T117" s="615">
        <v>-5</v>
      </c>
      <c r="U117" s="615">
        <v>-12.086167800453509</v>
      </c>
      <c r="V117" s="615">
        <v>2.0861678004535094</v>
      </c>
      <c r="W117" s="616">
        <v>-2.1428571428571388</v>
      </c>
      <c r="X117" s="616">
        <v>-25.102040816326536</v>
      </c>
      <c r="Y117" s="616">
        <v>8.6734693877551052</v>
      </c>
      <c r="Z117" s="641">
        <v>41.976401179941014</v>
      </c>
      <c r="AA117" s="640">
        <v>4.1297935103244798</v>
      </c>
      <c r="AB117" s="640">
        <v>53.893805309734503</v>
      </c>
      <c r="AC117" s="610">
        <v>58.023598820058986</v>
      </c>
      <c r="AE117" s="602">
        <v>19.334700566558965</v>
      </c>
      <c r="AF117" s="602">
        <v>32.147097973899484</v>
      </c>
      <c r="AG117" s="602">
        <v>43.456083318283056</v>
      </c>
      <c r="AH117" s="645">
        <v>426.3125</v>
      </c>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row>
    <row r="118" spans="1:56" s="600" customFormat="1" ht="18" customHeight="1" x14ac:dyDescent="0.3">
      <c r="A118" s="600" t="s">
        <v>17</v>
      </c>
      <c r="B118" s="600" t="s">
        <v>18</v>
      </c>
      <c r="C118" s="601" t="s">
        <v>36</v>
      </c>
      <c r="D118" s="601" t="s">
        <v>37</v>
      </c>
      <c r="E118" s="602" t="s">
        <v>201</v>
      </c>
      <c r="F118" s="602" t="s">
        <v>201</v>
      </c>
      <c r="G118" s="602"/>
      <c r="H118" s="611">
        <v>-3.503847203411226</v>
      </c>
      <c r="I118" s="611">
        <v>-6.1626702776284787</v>
      </c>
      <c r="J118" s="611">
        <v>-1.5547505670262893</v>
      </c>
      <c r="K118" s="612">
        <v>-8.9494439301074493</v>
      </c>
      <c r="L118" s="612">
        <v>-26.610122749689339</v>
      </c>
      <c r="M118" s="612">
        <v>-1.3464574831194227</v>
      </c>
      <c r="N118" s="613">
        <v>-24.654212085040257</v>
      </c>
      <c r="O118" s="613">
        <v>-48.727067592808041</v>
      </c>
      <c r="P118" s="613">
        <v>-2.7759932769207438</v>
      </c>
      <c r="Q118" s="614">
        <v>0</v>
      </c>
      <c r="R118" s="614">
        <v>0</v>
      </c>
      <c r="S118" s="614">
        <v>0</v>
      </c>
      <c r="T118" s="615">
        <v>-4.2857142857142918</v>
      </c>
      <c r="U118" s="615">
        <v>-21.303854875283449</v>
      </c>
      <c r="V118" s="615">
        <v>1.2131519274376359</v>
      </c>
      <c r="W118" s="616">
        <v>-22.142857142857139</v>
      </c>
      <c r="X118" s="616">
        <v>-44.512471655328795</v>
      </c>
      <c r="Y118" s="616">
        <v>2.2675736961446091E-2</v>
      </c>
      <c r="Z118" s="641">
        <v>84.929861363396697</v>
      </c>
      <c r="AA118" s="640">
        <v>3.3528260538374099</v>
      </c>
      <c r="AB118" s="640">
        <v>11.717312582765899</v>
      </c>
      <c r="AC118" s="610">
        <v>15.070138636603309</v>
      </c>
      <c r="AE118" s="602">
        <v>4.6079197106021894</v>
      </c>
      <c r="AF118" s="602">
        <v>25.263665266569916</v>
      </c>
      <c r="AG118" s="602">
        <v>45.951074315887297</v>
      </c>
      <c r="AH118" s="645">
        <v>10676.5</v>
      </c>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row>
    <row r="119" spans="1:56" s="600" customFormat="1" ht="18" customHeight="1" x14ac:dyDescent="0.3">
      <c r="A119" s="600" t="s">
        <v>17</v>
      </c>
      <c r="B119" s="600" t="s">
        <v>18</v>
      </c>
      <c r="C119" s="601" t="s">
        <v>19</v>
      </c>
      <c r="D119" s="601" t="s">
        <v>20</v>
      </c>
      <c r="E119" s="602" t="s">
        <v>715</v>
      </c>
      <c r="F119" s="342" t="s">
        <v>351</v>
      </c>
      <c r="G119" s="342"/>
      <c r="H119" s="611">
        <v>-14.297849074367491</v>
      </c>
      <c r="I119" s="611">
        <v>-24.882932106849651</v>
      </c>
      <c r="J119" s="611">
        <v>-6.8734892569723911</v>
      </c>
      <c r="K119" s="612">
        <v>-23.917952343708507</v>
      </c>
      <c r="L119" s="612">
        <v>-47.678479954288591</v>
      </c>
      <c r="M119" s="612">
        <v>-11.504978076263768</v>
      </c>
      <c r="N119" s="613">
        <v>-34.570831448243524</v>
      </c>
      <c r="O119" s="613">
        <v>-67.061702554677197</v>
      </c>
      <c r="P119" s="613">
        <v>-14.917148503908123</v>
      </c>
      <c r="Q119" s="614">
        <v>0</v>
      </c>
      <c r="R119" s="614">
        <v>0</v>
      </c>
      <c r="S119" s="614">
        <v>0</v>
      </c>
      <c r="T119" s="615">
        <v>-5</v>
      </c>
      <c r="U119" s="615">
        <v>-29.569160997732425</v>
      </c>
      <c r="V119" s="615">
        <v>0.70294784580498515</v>
      </c>
      <c r="W119" s="616">
        <v>-26.428571428571431</v>
      </c>
      <c r="X119" s="616">
        <v>-52.267573696145128</v>
      </c>
      <c r="Y119" s="616">
        <v>-4.8752834467120181</v>
      </c>
      <c r="Z119" s="641">
        <v>46.257997512597264</v>
      </c>
      <c r="AA119" s="640">
        <v>4.7119613298629401</v>
      </c>
      <c r="AB119" s="640">
        <v>49.030041157539799</v>
      </c>
      <c r="AC119" s="610">
        <v>53.742002487402736</v>
      </c>
      <c r="AE119" s="602">
        <v>18.00944284987726</v>
      </c>
      <c r="AF119" s="602">
        <v>36.173501878024823</v>
      </c>
      <c r="AG119" s="602">
        <v>52.144554050769074</v>
      </c>
      <c r="AH119" s="645">
        <v>4884.625</v>
      </c>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row>
    <row r="120" spans="1:56" s="600" customFormat="1" ht="18" customHeight="1" x14ac:dyDescent="0.3">
      <c r="A120" s="600" t="s">
        <v>17</v>
      </c>
      <c r="B120" s="617" t="s">
        <v>40</v>
      </c>
      <c r="C120" s="601" t="s">
        <v>41</v>
      </c>
      <c r="D120" s="601" t="s">
        <v>42</v>
      </c>
      <c r="E120" s="602"/>
      <c r="F120" s="342" t="s">
        <v>201</v>
      </c>
      <c r="G120" s="342" t="s">
        <v>187</v>
      </c>
      <c r="H120" s="611">
        <v>-12.470305721428574</v>
      </c>
      <c r="I120" s="611">
        <v>-24.007682831587303</v>
      </c>
      <c r="J120" s="611">
        <v>-4.6712508017460266</v>
      </c>
      <c r="K120" s="612">
        <v>-26.199121428571431</v>
      </c>
      <c r="L120" s="612">
        <v>-48.871108515941046</v>
      </c>
      <c r="M120" s="612">
        <v>-5.5039925118367421</v>
      </c>
      <c r="N120" s="613">
        <v>-40.594924564285705</v>
      </c>
      <c r="O120" s="613">
        <v>-68.019514040884346</v>
      </c>
      <c r="P120" s="613">
        <v>-11.90696937204082</v>
      </c>
      <c r="Q120" s="614">
        <v>0</v>
      </c>
      <c r="R120" s="614">
        <v>0</v>
      </c>
      <c r="S120" s="614">
        <v>0</v>
      </c>
      <c r="T120" s="615">
        <v>-9.2857142857142918</v>
      </c>
      <c r="U120" s="615">
        <v>-31.793650793650798</v>
      </c>
      <c r="V120" s="615">
        <v>10.492063492063494</v>
      </c>
      <c r="W120" s="616">
        <v>-30.714285714285708</v>
      </c>
      <c r="X120" s="616">
        <v>-57.920634920634917</v>
      </c>
      <c r="Y120" s="616">
        <v>-7.5555555555555429</v>
      </c>
      <c r="Z120" s="642">
        <v>49.852119999999999</v>
      </c>
      <c r="AA120" s="642">
        <v>6.8517910000000004</v>
      </c>
      <c r="AB120" s="642">
        <v>43.29609</v>
      </c>
      <c r="AC120" s="610">
        <v>50.147880999999998</v>
      </c>
      <c r="AE120" s="602">
        <v>19.336432029841276</v>
      </c>
      <c r="AF120" s="602">
        <v>43.367116004104304</v>
      </c>
      <c r="AG120" s="602">
        <v>56.112544668843526</v>
      </c>
      <c r="AH120" s="645">
        <v>2371.125</v>
      </c>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row>
    <row r="121" spans="1:56" s="600" customFormat="1" ht="18" customHeight="1" x14ac:dyDescent="0.3">
      <c r="A121" s="600" t="s">
        <v>17</v>
      </c>
      <c r="B121" s="617" t="s">
        <v>28</v>
      </c>
      <c r="C121" s="601" t="s">
        <v>43</v>
      </c>
      <c r="D121" s="601" t="s">
        <v>44</v>
      </c>
      <c r="E121" s="602" t="s">
        <v>201</v>
      </c>
      <c r="F121" s="342" t="s">
        <v>201</v>
      </c>
      <c r="G121" s="342" t="s">
        <v>201</v>
      </c>
      <c r="H121" s="611">
        <v>-7.416630988059552</v>
      </c>
      <c r="I121" s="611">
        <v>-13.84287972043073</v>
      </c>
      <c r="J121" s="611">
        <v>-3.3852315484968472</v>
      </c>
      <c r="K121" s="612">
        <v>-14.235288521002801</v>
      </c>
      <c r="L121" s="612">
        <v>-34.1689527403813</v>
      </c>
      <c r="M121" s="612">
        <v>-2.8761903251699152</v>
      </c>
      <c r="N121" s="613">
        <v>-25.155558726987294</v>
      </c>
      <c r="O121" s="613">
        <v>-47.106861392575674</v>
      </c>
      <c r="P121" s="613">
        <v>-3.7368527164445453</v>
      </c>
      <c r="Q121" s="614">
        <v>0</v>
      </c>
      <c r="R121" s="614">
        <v>0</v>
      </c>
      <c r="S121" s="614">
        <v>0</v>
      </c>
      <c r="T121" s="615">
        <v>-7.1428571428571388</v>
      </c>
      <c r="U121" s="615">
        <v>-24.433106575963706</v>
      </c>
      <c r="V121" s="615">
        <v>1.3718820861678012</v>
      </c>
      <c r="W121" s="616">
        <v>-20</v>
      </c>
      <c r="X121" s="616">
        <v>-38.061224489795919</v>
      </c>
      <c r="Y121" s="616">
        <v>1.0204081632653015</v>
      </c>
      <c r="Z121" s="641">
        <v>72.860472860472868</v>
      </c>
      <c r="AA121" s="640">
        <v>9.1242091242091306</v>
      </c>
      <c r="AB121" s="640">
        <v>18.015318015318002</v>
      </c>
      <c r="AC121" s="610">
        <v>27.139527139527132</v>
      </c>
      <c r="AE121" s="602">
        <v>10.457648171933883</v>
      </c>
      <c r="AF121" s="602">
        <v>31.292762415211385</v>
      </c>
      <c r="AG121" s="602">
        <v>43.370008676131128</v>
      </c>
      <c r="AH121" s="645">
        <v>188.4375</v>
      </c>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row>
    <row r="122" spans="1:56" s="600" customFormat="1" ht="18" customHeight="1" x14ac:dyDescent="0.3">
      <c r="A122" s="600" t="s">
        <v>17</v>
      </c>
      <c r="B122" s="600" t="s">
        <v>33</v>
      </c>
      <c r="C122" s="601" t="s">
        <v>34</v>
      </c>
      <c r="D122" s="601" t="s">
        <v>35</v>
      </c>
      <c r="E122" s="602" t="s">
        <v>187</v>
      </c>
      <c r="F122" s="342" t="s">
        <v>201</v>
      </c>
      <c r="G122" s="342" t="s">
        <v>201</v>
      </c>
      <c r="H122" s="611">
        <v>-5.6503496503496393</v>
      </c>
      <c r="I122" s="611">
        <v>-9.7007252007252021</v>
      </c>
      <c r="J122" s="611">
        <v>-3.2478632478632505</v>
      </c>
      <c r="K122" s="612">
        <v>-11.627622377622387</v>
      </c>
      <c r="L122" s="612">
        <v>-36.257945757945762</v>
      </c>
      <c r="M122" s="612">
        <v>-0.67562067562066375</v>
      </c>
      <c r="N122" s="613">
        <v>-21.266317016317018</v>
      </c>
      <c r="O122" s="613">
        <v>-47.860722610722618</v>
      </c>
      <c r="P122" s="613">
        <v>2.8955766455766536</v>
      </c>
      <c r="Q122" s="614">
        <v>0</v>
      </c>
      <c r="R122" s="614">
        <v>0</v>
      </c>
      <c r="S122" s="614">
        <v>0</v>
      </c>
      <c r="T122" s="615">
        <v>-5.8333333333333286</v>
      </c>
      <c r="U122" s="615">
        <v>-30.291005291005291</v>
      </c>
      <c r="V122" s="615">
        <v>3.3862433862433932</v>
      </c>
      <c r="W122" s="616">
        <v>-16.666666666666671</v>
      </c>
      <c r="X122" s="616">
        <v>-43.333333333333343</v>
      </c>
      <c r="Y122" s="616">
        <v>7.6190476190476204</v>
      </c>
      <c r="Z122" s="641">
        <v>82.72727272727272</v>
      </c>
      <c r="AA122" s="640">
        <v>2.5874125874125902</v>
      </c>
      <c r="AB122" s="640">
        <v>14.685314685314699</v>
      </c>
      <c r="AC122" s="610">
        <v>17.272727272727288</v>
      </c>
      <c r="AE122" s="602">
        <v>6.4528619528619515</v>
      </c>
      <c r="AF122" s="602">
        <v>35.582325082325099</v>
      </c>
      <c r="AG122" s="602">
        <v>50.756299256299272</v>
      </c>
      <c r="AH122" s="645">
        <v>89.8125</v>
      </c>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row>
    <row r="123" spans="1:56" s="600" customFormat="1" ht="18" customHeight="1" x14ac:dyDescent="0.3">
      <c r="A123" s="600" t="s">
        <v>17</v>
      </c>
      <c r="B123" s="600" t="s">
        <v>18</v>
      </c>
      <c r="C123" s="601" t="s">
        <v>64</v>
      </c>
      <c r="D123" s="601" t="s">
        <v>65</v>
      </c>
      <c r="E123" s="602"/>
      <c r="F123" s="602" t="s">
        <v>267</v>
      </c>
      <c r="G123" s="603"/>
      <c r="H123" s="604"/>
      <c r="I123" s="604"/>
      <c r="J123" s="604"/>
      <c r="K123" s="605"/>
      <c r="L123" s="605"/>
      <c r="M123" s="605"/>
      <c r="N123" s="606"/>
      <c r="O123" s="606"/>
      <c r="P123" s="606"/>
      <c r="Q123" s="607"/>
      <c r="R123" s="607"/>
      <c r="S123" s="607"/>
      <c r="T123" s="608"/>
      <c r="U123" s="608"/>
      <c r="V123" s="608"/>
      <c r="W123" s="609"/>
      <c r="X123" s="609"/>
      <c r="Y123" s="609"/>
      <c r="Z123" s="641">
        <v>75.843401570286431</v>
      </c>
      <c r="AA123" s="640">
        <v>4.9783995984655602</v>
      </c>
      <c r="AB123" s="640">
        <v>19.178198831248</v>
      </c>
      <c r="AC123" s="610">
        <v>24.156598429713561</v>
      </c>
      <c r="AE123" s="602"/>
      <c r="AF123" s="602"/>
      <c r="AG123" s="602"/>
      <c r="AH123" s="645">
        <v>13933.5625</v>
      </c>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row>
    <row r="124" spans="1:56" s="600" customFormat="1" ht="18" customHeight="1" x14ac:dyDescent="0.3">
      <c r="A124" s="600" t="s">
        <v>17</v>
      </c>
      <c r="B124" s="600" t="s">
        <v>18</v>
      </c>
      <c r="C124" s="600" t="s">
        <v>58</v>
      </c>
      <c r="D124" s="601" t="s">
        <v>59</v>
      </c>
      <c r="E124" s="602"/>
      <c r="F124" s="603" t="s">
        <v>346</v>
      </c>
      <c r="G124" s="603"/>
      <c r="H124" s="604"/>
      <c r="I124" s="604"/>
      <c r="J124" s="604"/>
      <c r="K124" s="605"/>
      <c r="L124" s="605"/>
      <c r="M124" s="605"/>
      <c r="N124" s="606"/>
      <c r="O124" s="606"/>
      <c r="P124" s="606"/>
      <c r="Q124" s="607"/>
      <c r="R124" s="607"/>
      <c r="S124" s="607"/>
      <c r="T124" s="608"/>
      <c r="U124" s="608"/>
      <c r="V124" s="608"/>
      <c r="W124" s="609"/>
      <c r="X124" s="609"/>
      <c r="Y124" s="609"/>
      <c r="Z124" s="642">
        <v>67.424099999999996</v>
      </c>
      <c r="AA124" s="642">
        <v>7.2197149999999999</v>
      </c>
      <c r="AB124" s="642">
        <v>25.355779999999999</v>
      </c>
      <c r="AC124" s="610">
        <v>32.575494999999997</v>
      </c>
      <c r="AE124" s="602"/>
      <c r="AF124" s="602"/>
      <c r="AG124" s="602"/>
      <c r="AH124" s="645">
        <v>360.0625</v>
      </c>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row>
    <row r="125" spans="1:56" s="600" customFormat="1" ht="18" customHeight="1" x14ac:dyDescent="0.3">
      <c r="A125" s="600" t="s">
        <v>17</v>
      </c>
      <c r="B125" s="600" t="s">
        <v>21</v>
      </c>
      <c r="C125" s="601" t="s">
        <v>60</v>
      </c>
      <c r="D125" s="601" t="s">
        <v>61</v>
      </c>
      <c r="E125" s="602" t="s">
        <v>201</v>
      </c>
      <c r="F125" s="603" t="s">
        <v>201</v>
      </c>
      <c r="G125" s="603" t="s">
        <v>227</v>
      </c>
      <c r="H125" s="604"/>
      <c r="I125" s="604"/>
      <c r="J125" s="604"/>
      <c r="K125" s="605"/>
      <c r="L125" s="605"/>
      <c r="M125" s="605"/>
      <c r="N125" s="606"/>
      <c r="O125" s="606"/>
      <c r="P125" s="606"/>
      <c r="Q125" s="607"/>
      <c r="R125" s="607"/>
      <c r="S125" s="607"/>
      <c r="T125" s="608"/>
      <c r="U125" s="608"/>
      <c r="V125" s="608"/>
      <c r="W125" s="609"/>
      <c r="X125" s="609"/>
      <c r="Y125" s="609"/>
      <c r="Z125" s="641">
        <v>93.842364532019701</v>
      </c>
      <c r="AA125" s="640">
        <v>0</v>
      </c>
      <c r="AB125" s="640">
        <v>6.1576354679802998</v>
      </c>
      <c r="AC125" s="610">
        <v>6.1576354679802998</v>
      </c>
      <c r="AE125" s="602"/>
      <c r="AF125" s="602"/>
      <c r="AG125" s="602"/>
      <c r="AH125" s="645">
        <v>28</v>
      </c>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row>
    <row r="126" spans="1:56" s="600" customFormat="1" ht="18" customHeight="1" x14ac:dyDescent="0.3">
      <c r="A126" s="600" t="s">
        <v>17</v>
      </c>
      <c r="B126" s="600" t="s">
        <v>18</v>
      </c>
      <c r="C126" s="601" t="s">
        <v>62</v>
      </c>
      <c r="D126" s="601" t="s">
        <v>63</v>
      </c>
      <c r="E126" s="602" t="s">
        <v>201</v>
      </c>
      <c r="F126" s="602" t="s">
        <v>187</v>
      </c>
      <c r="G126" s="603" t="s">
        <v>227</v>
      </c>
      <c r="H126" s="604"/>
      <c r="I126" s="604"/>
      <c r="J126" s="604"/>
      <c r="K126" s="605"/>
      <c r="L126" s="605"/>
      <c r="M126" s="605"/>
      <c r="N126" s="606"/>
      <c r="O126" s="606"/>
      <c r="P126" s="606"/>
      <c r="Q126" s="607"/>
      <c r="R126" s="607"/>
      <c r="S126" s="607"/>
      <c r="T126" s="608"/>
      <c r="U126" s="608"/>
      <c r="V126" s="608"/>
      <c r="W126" s="609"/>
      <c r="X126" s="609"/>
      <c r="Y126" s="609"/>
      <c r="Z126" s="641">
        <v>99.3993993993994</v>
      </c>
      <c r="AA126" s="640">
        <v>3.0030030030029999E-2</v>
      </c>
      <c r="AB126" s="640">
        <v>0.57057057057057103</v>
      </c>
      <c r="AC126" s="610">
        <v>0.60060060060060105</v>
      </c>
      <c r="AE126" s="602"/>
      <c r="AF126" s="602"/>
      <c r="AG126" s="602"/>
      <c r="AH126" s="645">
        <v>204.75</v>
      </c>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row>
    <row r="127" spans="1:56" s="600" customFormat="1" ht="18" customHeight="1" x14ac:dyDescent="0.3">
      <c r="A127" s="600" t="s">
        <v>17</v>
      </c>
      <c r="B127" s="617" t="s">
        <v>55</v>
      </c>
      <c r="C127" s="601" t="s">
        <v>56</v>
      </c>
      <c r="D127" s="601" t="s">
        <v>57</v>
      </c>
      <c r="E127" s="602" t="s">
        <v>187</v>
      </c>
      <c r="F127" s="602" t="s">
        <v>187</v>
      </c>
      <c r="G127" s="342" t="s">
        <v>187</v>
      </c>
      <c r="H127" s="604"/>
      <c r="I127" s="604"/>
      <c r="J127" s="604"/>
      <c r="K127" s="605"/>
      <c r="L127" s="605"/>
      <c r="M127" s="605"/>
      <c r="N127" s="606"/>
      <c r="O127" s="606"/>
      <c r="P127" s="606"/>
      <c r="Q127" s="607"/>
      <c r="R127" s="607"/>
      <c r="S127" s="607"/>
      <c r="T127" s="608"/>
      <c r="U127" s="608"/>
      <c r="V127" s="608"/>
      <c r="W127" s="609"/>
      <c r="X127" s="609"/>
      <c r="Y127" s="609"/>
      <c r="Z127" s="641">
        <v>82.279378402903845</v>
      </c>
      <c r="AA127" s="640">
        <v>2.7705308529945598</v>
      </c>
      <c r="AB127" s="640">
        <v>14.950090744101599</v>
      </c>
      <c r="AC127" s="610">
        <v>17.720621597096159</v>
      </c>
      <c r="AE127" s="602"/>
      <c r="AF127" s="602"/>
      <c r="AG127" s="602"/>
      <c r="AH127" s="645">
        <v>1526.5</v>
      </c>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row>
    <row r="128" spans="1:56" ht="18" customHeight="1" x14ac:dyDescent="0.3">
      <c r="A128" s="146" t="s">
        <v>181</v>
      </c>
      <c r="B128" s="295" t="s">
        <v>182</v>
      </c>
      <c r="C128" s="146" t="s">
        <v>183</v>
      </c>
      <c r="D128" s="146" t="s">
        <v>184</v>
      </c>
      <c r="E128" s="323"/>
      <c r="F128" s="338" t="s">
        <v>187</v>
      </c>
      <c r="G128" s="324" t="s">
        <v>188</v>
      </c>
      <c r="H128" s="114">
        <v>-2.3522176428605803</v>
      </c>
      <c r="I128" s="114">
        <v>-3.8401357828138458</v>
      </c>
      <c r="J128" s="114">
        <v>-0.73035574260558178</v>
      </c>
      <c r="K128" s="115">
        <v>-2.7620877274086695</v>
      </c>
      <c r="L128" s="115">
        <v>-11.123922939717644</v>
      </c>
      <c r="M128" s="115">
        <v>6.8216911035262342</v>
      </c>
      <c r="N128" s="290">
        <v>-1.1570045654916044</v>
      </c>
      <c r="O128" s="290">
        <v>-13.687776025475287</v>
      </c>
      <c r="P128" s="290">
        <v>12.31530113200867</v>
      </c>
      <c r="Q128" s="283">
        <v>0</v>
      </c>
      <c r="R128" s="283">
        <v>0</v>
      </c>
      <c r="S128" s="283">
        <v>0</v>
      </c>
      <c r="T128" s="284">
        <v>-1.4285714285714306</v>
      </c>
      <c r="U128" s="284">
        <v>-8.1269841269841265</v>
      </c>
      <c r="V128" s="284">
        <v>7.4920634920634939</v>
      </c>
      <c r="W128" s="285">
        <v>-0.7142857142857082</v>
      </c>
      <c r="X128" s="285">
        <v>-11.507936507936506</v>
      </c>
      <c r="Y128" s="285">
        <v>12.69841269841271</v>
      </c>
      <c r="Z128" s="639">
        <v>91.207019963004612</v>
      </c>
      <c r="AA128" s="639">
        <v>6.1121081349111979</v>
      </c>
      <c r="AB128" s="639">
        <v>2.6808719020841889</v>
      </c>
      <c r="AC128" s="388">
        <v>8.7929800369953863</v>
      </c>
      <c r="AE128" s="323">
        <v>3.109780040208264</v>
      </c>
      <c r="AF128" s="323">
        <v>17.945614043243879</v>
      </c>
      <c r="AG128" s="323">
        <v>26.003077157483958</v>
      </c>
      <c r="AH128" s="635">
        <v>25710.401293605999</v>
      </c>
      <c r="AI128" s="148"/>
      <c r="AJ128" s="584"/>
      <c r="AK128" s="584"/>
    </row>
    <row r="129" spans="1:37" ht="18" customHeight="1" x14ac:dyDescent="0.3">
      <c r="A129" s="146" t="s">
        <v>181</v>
      </c>
      <c r="B129" s="295" t="s">
        <v>182</v>
      </c>
      <c r="C129" s="146" t="s">
        <v>190</v>
      </c>
      <c r="D129" s="146" t="s">
        <v>191</v>
      </c>
      <c r="E129" s="323"/>
      <c r="F129" s="338" t="s">
        <v>192</v>
      </c>
      <c r="G129" s="324"/>
      <c r="H129" s="114">
        <v>-2.3705558301880245</v>
      </c>
      <c r="I129" s="114">
        <v>-3.9194627098083856</v>
      </c>
      <c r="J129" s="114">
        <v>-0.68990420505265604</v>
      </c>
      <c r="K129" s="115">
        <v>-2.7422927800009376</v>
      </c>
      <c r="L129" s="115">
        <v>-11.158509159076516</v>
      </c>
      <c r="M129" s="115">
        <v>6.8390448076315096</v>
      </c>
      <c r="N129" s="290">
        <v>-1.1471137668604001</v>
      </c>
      <c r="O129" s="290">
        <v>-13.699410607324452</v>
      </c>
      <c r="P129" s="290">
        <v>12.336104488311889</v>
      </c>
      <c r="Q129" s="283">
        <v>0</v>
      </c>
      <c r="R129" s="283">
        <v>0</v>
      </c>
      <c r="S129" s="283">
        <v>0</v>
      </c>
      <c r="T129" s="284">
        <v>-1.4285714285714306</v>
      </c>
      <c r="U129" s="284">
        <v>-8.1269841269841265</v>
      </c>
      <c r="V129" s="284">
        <v>7.4920634920634939</v>
      </c>
      <c r="W129" s="285">
        <v>-0.7142857142857082</v>
      </c>
      <c r="X129" s="285">
        <v>-11.507936507936506</v>
      </c>
      <c r="Y129" s="285">
        <v>12.69841269841271</v>
      </c>
      <c r="Z129" s="639">
        <v>86.372592292390621</v>
      </c>
      <c r="AA129" s="639">
        <v>10.017008168585079</v>
      </c>
      <c r="AB129" s="639">
        <v>3.610399539024304</v>
      </c>
      <c r="AC129" s="388">
        <v>13.627407707609382</v>
      </c>
      <c r="AE129" s="323">
        <v>3.2295585047557296</v>
      </c>
      <c r="AF129" s="323">
        <v>17.997553966708026</v>
      </c>
      <c r="AG129" s="323">
        <v>26.035515095636342</v>
      </c>
      <c r="AH129" s="635">
        <v>549.01365943066389</v>
      </c>
      <c r="AI129" s="148"/>
      <c r="AJ129" s="584"/>
      <c r="AK129" s="584"/>
    </row>
    <row r="130" spans="1:37" ht="18" customHeight="1" x14ac:dyDescent="0.3">
      <c r="A130" s="146" t="s">
        <v>181</v>
      </c>
      <c r="B130" s="295" t="s">
        <v>182</v>
      </c>
      <c r="C130" s="146" t="s">
        <v>193</v>
      </c>
      <c r="D130" s="146" t="s">
        <v>194</v>
      </c>
      <c r="E130" s="323"/>
      <c r="F130" s="338" t="s">
        <v>192</v>
      </c>
      <c r="G130" s="324"/>
      <c r="H130" s="114">
        <v>-3.5249271537343958</v>
      </c>
      <c r="I130" s="114">
        <v>-5.8146148137623896</v>
      </c>
      <c r="J130" s="114">
        <v>-1.0384549195969299</v>
      </c>
      <c r="K130" s="115">
        <v>-3.3902649125184041</v>
      </c>
      <c r="L130" s="115">
        <v>-12.631685097339371</v>
      </c>
      <c r="M130" s="115">
        <v>6.5148871073174774</v>
      </c>
      <c r="N130" s="290">
        <v>-1.3615259015762859</v>
      </c>
      <c r="O130" s="290">
        <v>-14.768038579276649</v>
      </c>
      <c r="P130" s="290">
        <v>12.153181578008201</v>
      </c>
      <c r="Q130" s="283">
        <v>0</v>
      </c>
      <c r="R130" s="283">
        <v>0</v>
      </c>
      <c r="S130" s="283">
        <v>0</v>
      </c>
      <c r="T130" s="284">
        <v>-1.4285714285714306</v>
      </c>
      <c r="U130" s="284">
        <v>-8.1269841269841265</v>
      </c>
      <c r="V130" s="284">
        <v>7.4920634920634939</v>
      </c>
      <c r="W130" s="285">
        <v>-0.7142857142857082</v>
      </c>
      <c r="X130" s="285">
        <v>-11.507936507936506</v>
      </c>
      <c r="Y130" s="285">
        <v>12.69841269841271</v>
      </c>
      <c r="Z130" s="639">
        <v>90.767279396865092</v>
      </c>
      <c r="AA130" s="639">
        <v>6.8662161083430817</v>
      </c>
      <c r="AB130" s="639">
        <v>2.3665044947918306</v>
      </c>
      <c r="AC130" s="388">
        <v>9.2327206031349114</v>
      </c>
      <c r="AE130" s="323">
        <v>4.7761598941654597</v>
      </c>
      <c r="AF130" s="323">
        <v>19.146572204656849</v>
      </c>
      <c r="AG130" s="323">
        <v>26.92122015728485</v>
      </c>
      <c r="AH130" s="635">
        <v>12021.451244165501</v>
      </c>
      <c r="AI130" s="148"/>
      <c r="AJ130" s="584"/>
      <c r="AK130" s="584"/>
    </row>
    <row r="131" spans="1:37" ht="18" customHeight="1" x14ac:dyDescent="0.3">
      <c r="A131" s="146" t="s">
        <v>181</v>
      </c>
      <c r="B131" s="295" t="s">
        <v>182</v>
      </c>
      <c r="C131" s="146" t="s">
        <v>195</v>
      </c>
      <c r="D131" s="146" t="s">
        <v>196</v>
      </c>
      <c r="E131" s="323"/>
      <c r="F131" s="338" t="s">
        <v>192</v>
      </c>
      <c r="G131" s="324"/>
      <c r="H131" s="114">
        <v>-2.04817546744016</v>
      </c>
      <c r="I131" s="114">
        <v>-3.2382202298995395</v>
      </c>
      <c r="J131" s="114">
        <v>-0.73456904684607593</v>
      </c>
      <c r="K131" s="115">
        <v>-2.6542420674966536</v>
      </c>
      <c r="L131" s="115">
        <v>-10.712563734264506</v>
      </c>
      <c r="M131" s="115">
        <v>6.8600861948763594</v>
      </c>
      <c r="N131" s="290">
        <v>-1.1282935312507334</v>
      </c>
      <c r="O131" s="290">
        <v>-13.417469296089294</v>
      </c>
      <c r="P131" s="290">
        <v>12.313979392077783</v>
      </c>
      <c r="Q131" s="283">
        <v>0</v>
      </c>
      <c r="R131" s="283">
        <v>0</v>
      </c>
      <c r="S131" s="283">
        <v>0</v>
      </c>
      <c r="T131" s="284">
        <v>-1.4285714285714306</v>
      </c>
      <c r="U131" s="284">
        <v>-8.1269841269841265</v>
      </c>
      <c r="V131" s="284">
        <v>7.4920634920634939</v>
      </c>
      <c r="W131" s="285">
        <v>-0.7142857142857082</v>
      </c>
      <c r="X131" s="285">
        <v>-11.507936507936506</v>
      </c>
      <c r="Y131" s="285">
        <v>12.69841269841271</v>
      </c>
      <c r="Z131" s="639">
        <v>93.136847892384438</v>
      </c>
      <c r="AA131" s="639">
        <v>3.8123035131515048</v>
      </c>
      <c r="AB131" s="639">
        <v>3.0508485944640542</v>
      </c>
      <c r="AC131" s="388">
        <v>6.8631521076155586</v>
      </c>
      <c r="AE131" s="323">
        <v>2.5036511830534636</v>
      </c>
      <c r="AF131" s="323">
        <v>17.572649929140866</v>
      </c>
      <c r="AG131" s="323">
        <v>25.731448688167077</v>
      </c>
      <c r="AH131" s="635">
        <v>9403.2888472817394</v>
      </c>
      <c r="AI131" s="148"/>
      <c r="AJ131" s="584"/>
      <c r="AK131" s="584"/>
    </row>
    <row r="132" spans="1:37" ht="18" customHeight="1" x14ac:dyDescent="0.3">
      <c r="A132" s="146" t="s">
        <v>181</v>
      </c>
      <c r="B132" s="146" t="s">
        <v>197</v>
      </c>
      <c r="C132" s="146" t="s">
        <v>198</v>
      </c>
      <c r="D132" s="295" t="s">
        <v>199</v>
      </c>
      <c r="E132" s="341" t="s">
        <v>187</v>
      </c>
      <c r="F132" s="321" t="s">
        <v>187</v>
      </c>
      <c r="G132" s="322" t="s">
        <v>201</v>
      </c>
      <c r="H132" s="114">
        <v>-10.432490233948513</v>
      </c>
      <c r="I132" s="114">
        <v>-24.484492895601591</v>
      </c>
      <c r="J132" s="114">
        <v>-1.4609671464911571</v>
      </c>
      <c r="K132" s="115">
        <v>-15.47723115908795</v>
      </c>
      <c r="L132" s="115">
        <v>-32.447262973263534</v>
      </c>
      <c r="M132" s="115">
        <v>-2.2662131503210219</v>
      </c>
      <c r="N132" s="290">
        <v>-23.898823606349865</v>
      </c>
      <c r="O132" s="290">
        <v>-42.066020062383998</v>
      </c>
      <c r="P132" s="290">
        <v>-4.7200266625033862</v>
      </c>
      <c r="Q132" s="283">
        <v>0</v>
      </c>
      <c r="R132" s="283">
        <v>0</v>
      </c>
      <c r="S132" s="283">
        <v>0</v>
      </c>
      <c r="T132" s="284">
        <v>-3.375</v>
      </c>
      <c r="U132" s="284">
        <v>-9.759502923976612</v>
      </c>
      <c r="V132" s="284">
        <v>1.5997284878863809</v>
      </c>
      <c r="W132" s="285">
        <v>-12.5</v>
      </c>
      <c r="X132" s="285">
        <v>-25.456932773109244</v>
      </c>
      <c r="Y132" s="285">
        <v>-0.79306722689075571</v>
      </c>
      <c r="Z132" s="639">
        <v>39.073354841482178</v>
      </c>
      <c r="AA132" s="639">
        <v>32.760049267180044</v>
      </c>
      <c r="AB132" s="639">
        <v>28.166595891337771</v>
      </c>
      <c r="AC132" s="388">
        <v>60.926645158517815</v>
      </c>
      <c r="AE132" s="323">
        <v>23.023525749110433</v>
      </c>
      <c r="AF132" s="323">
        <v>30.181049822942512</v>
      </c>
      <c r="AG132" s="323">
        <v>37.345993399880612</v>
      </c>
      <c r="AH132" s="635">
        <v>32321.711271354499</v>
      </c>
      <c r="AI132" s="148"/>
      <c r="AJ132" s="584"/>
      <c r="AK132" s="584"/>
    </row>
    <row r="133" spans="1:37" ht="18" customHeight="1" x14ac:dyDescent="0.3">
      <c r="A133" s="146" t="s">
        <v>181</v>
      </c>
      <c r="B133" s="146" t="s">
        <v>197</v>
      </c>
      <c r="C133" s="146" t="s">
        <v>203</v>
      </c>
      <c r="D133" s="295" t="s">
        <v>204</v>
      </c>
      <c r="E133" s="341" t="s">
        <v>887</v>
      </c>
      <c r="F133" s="321" t="s">
        <v>192</v>
      </c>
      <c r="G133" s="322"/>
      <c r="H133" s="114">
        <v>-9.4003547073341878</v>
      </c>
      <c r="I133" s="114">
        <v>-22.091122833439471</v>
      </c>
      <c r="J133" s="114">
        <v>-1.258102320765957</v>
      </c>
      <c r="K133" s="115">
        <v>-14.308601334131268</v>
      </c>
      <c r="L133" s="115">
        <v>-30.220794909552296</v>
      </c>
      <c r="M133" s="115">
        <v>-1.7907238914148422</v>
      </c>
      <c r="N133" s="290">
        <v>-22.80405158575644</v>
      </c>
      <c r="O133" s="290">
        <v>-40.372966890140944</v>
      </c>
      <c r="P133" s="290">
        <v>-4.2660354567707515</v>
      </c>
      <c r="Q133" s="283">
        <v>0</v>
      </c>
      <c r="R133" s="283">
        <v>0</v>
      </c>
      <c r="S133" s="283">
        <v>0</v>
      </c>
      <c r="T133" s="284">
        <v>-3.375</v>
      </c>
      <c r="U133" s="284">
        <v>-9.759502923976612</v>
      </c>
      <c r="V133" s="284">
        <v>1.5997284878863809</v>
      </c>
      <c r="W133" s="285">
        <v>-12.5</v>
      </c>
      <c r="X133" s="285">
        <v>-25.456932773109244</v>
      </c>
      <c r="Y133" s="285">
        <v>-0.79306722689075571</v>
      </c>
      <c r="Z133" s="639">
        <v>43.859988795081534</v>
      </c>
      <c r="AA133" s="639">
        <v>32.311478137724805</v>
      </c>
      <c r="AB133" s="639">
        <v>23.828533067193657</v>
      </c>
      <c r="AC133" s="388">
        <v>56.140011204918466</v>
      </c>
      <c r="AE133" s="323">
        <v>20.833020512673514</v>
      </c>
      <c r="AF133" s="323">
        <v>28.430071018137454</v>
      </c>
      <c r="AG133" s="323">
        <v>36.106931433370193</v>
      </c>
      <c r="AH133" s="635">
        <v>21827.097033215301</v>
      </c>
      <c r="AI133" s="148"/>
      <c r="AJ133" s="584"/>
      <c r="AK133" s="584"/>
    </row>
    <row r="134" spans="1:37" ht="18" customHeight="1" x14ac:dyDescent="0.3">
      <c r="A134" s="146" t="s">
        <v>181</v>
      </c>
      <c r="B134" s="146" t="s">
        <v>197</v>
      </c>
      <c r="C134" s="146" t="s">
        <v>206</v>
      </c>
      <c r="D134" s="295" t="s">
        <v>207</v>
      </c>
      <c r="E134" s="341" t="s">
        <v>887</v>
      </c>
      <c r="F134" s="321" t="s">
        <v>192</v>
      </c>
      <c r="G134" s="322"/>
      <c r="H134" s="114">
        <v>-12.480415032300186</v>
      </c>
      <c r="I134" s="114">
        <v>-29.232238231798419</v>
      </c>
      <c r="J134" s="114">
        <v>-1.8656768975484113</v>
      </c>
      <c r="K134" s="115">
        <v>-17.794903723522467</v>
      </c>
      <c r="L134" s="115">
        <v>-36.864255813031917</v>
      </c>
      <c r="M134" s="115">
        <v>-3.2131583943720301</v>
      </c>
      <c r="N134" s="290">
        <v>-26.069789860487589</v>
      </c>
      <c r="O134" s="290">
        <v>-45.427186834052229</v>
      </c>
      <c r="P134" s="290">
        <v>-5.6232809928953884</v>
      </c>
      <c r="Q134" s="283">
        <v>0</v>
      </c>
      <c r="R134" s="283">
        <v>0</v>
      </c>
      <c r="S134" s="283">
        <v>0</v>
      </c>
      <c r="T134" s="284">
        <v>-3.375</v>
      </c>
      <c r="U134" s="284">
        <v>-9.759502923976612</v>
      </c>
      <c r="V134" s="284">
        <v>1.5997284878863809</v>
      </c>
      <c r="W134" s="285">
        <v>-12.5</v>
      </c>
      <c r="X134" s="285">
        <v>-25.456932773109244</v>
      </c>
      <c r="Y134" s="285">
        <v>-0.79306722689075571</v>
      </c>
      <c r="Z134" s="639">
        <v>29.62255933341531</v>
      </c>
      <c r="AA134" s="639">
        <v>33.545091176813671</v>
      </c>
      <c r="AB134" s="639">
        <v>36.832349489771019</v>
      </c>
      <c r="AC134" s="388">
        <v>70.37744066658469</v>
      </c>
      <c r="AE134" s="323">
        <v>27.366561334250008</v>
      </c>
      <c r="AF134" s="323">
        <v>33.651097418659887</v>
      </c>
      <c r="AG134" s="323">
        <v>39.80390584115684</v>
      </c>
      <c r="AH134" s="635">
        <v>10494.6142381396</v>
      </c>
      <c r="AI134" s="148"/>
      <c r="AJ134" s="584"/>
      <c r="AK134" s="584"/>
    </row>
    <row r="135" spans="1:37" ht="18" customHeight="1" x14ac:dyDescent="0.3">
      <c r="A135" s="146" t="s">
        <v>181</v>
      </c>
      <c r="B135" s="295" t="s">
        <v>208</v>
      </c>
      <c r="C135" s="146" t="s">
        <v>209</v>
      </c>
      <c r="D135" s="295" t="s">
        <v>210</v>
      </c>
      <c r="E135" s="341" t="s">
        <v>201</v>
      </c>
      <c r="F135" s="321" t="s">
        <v>227</v>
      </c>
      <c r="G135" s="322" t="s">
        <v>187</v>
      </c>
      <c r="H135" s="114">
        <v>-3.1342029918649246</v>
      </c>
      <c r="I135" s="114">
        <v>-5.6531954930883046</v>
      </c>
      <c r="J135" s="114">
        <v>-1.0456400053488721</v>
      </c>
      <c r="K135" s="115">
        <v>-6.9891373372980894</v>
      </c>
      <c r="L135" s="115">
        <v>-26.985366352754625</v>
      </c>
      <c r="M135" s="115">
        <v>-1.3633791887381932</v>
      </c>
      <c r="N135" s="290">
        <v>-16.217809282838942</v>
      </c>
      <c r="O135" s="290">
        <v>-44.013990686502183</v>
      </c>
      <c r="P135" s="290">
        <v>-4.1074034405101543</v>
      </c>
      <c r="Q135" s="283">
        <v>0</v>
      </c>
      <c r="R135" s="283">
        <v>0</v>
      </c>
      <c r="S135" s="283">
        <v>0</v>
      </c>
      <c r="T135" s="284">
        <v>-4.1666666666666714</v>
      </c>
      <c r="U135" s="284">
        <v>-23.740740740740748</v>
      </c>
      <c r="V135" s="284">
        <v>-0.42592592592592382</v>
      </c>
      <c r="W135" s="285">
        <v>-15</v>
      </c>
      <c r="X135" s="285">
        <v>-43.981481481481481</v>
      </c>
      <c r="Y135" s="285">
        <v>-3.7962962962962905</v>
      </c>
      <c r="Z135" s="639">
        <v>86.140843339792568</v>
      </c>
      <c r="AA135" s="639">
        <v>9.0143740464051945</v>
      </c>
      <c r="AB135" s="639">
        <v>4.8447826138022414</v>
      </c>
      <c r="AC135" s="388">
        <v>13.859156660207436</v>
      </c>
      <c r="AE135" s="323">
        <v>4.6075554877394325</v>
      </c>
      <c r="AF135" s="323">
        <v>25.621987164016431</v>
      </c>
      <c r="AG135" s="323">
        <v>39.906587245992029</v>
      </c>
      <c r="AH135" s="635">
        <v>32844.584688336901</v>
      </c>
      <c r="AI135" s="148"/>
      <c r="AJ135" s="584"/>
      <c r="AK135" s="584"/>
    </row>
    <row r="136" spans="1:37" ht="18" customHeight="1" x14ac:dyDescent="0.3">
      <c r="A136" s="146" t="s">
        <v>181</v>
      </c>
      <c r="B136" s="295" t="s">
        <v>208</v>
      </c>
      <c r="C136" s="146" t="s">
        <v>213</v>
      </c>
      <c r="D136" s="295" t="s">
        <v>214</v>
      </c>
      <c r="E136" s="341" t="s">
        <v>886</v>
      </c>
      <c r="F136" s="321"/>
      <c r="G136" s="322"/>
      <c r="H136" s="114">
        <v>-1.5020330283417138</v>
      </c>
      <c r="I136" s="114">
        <v>-2.8229670353074852</v>
      </c>
      <c r="J136" s="114">
        <v>-0.41005483669866294</v>
      </c>
      <c r="K136" s="115">
        <v>-5.5087682186544811</v>
      </c>
      <c r="L136" s="115">
        <v>-25.322995744826628</v>
      </c>
      <c r="M136" s="115">
        <v>-0.83215816219149019</v>
      </c>
      <c r="N136" s="290">
        <v>-15.562986792006271</v>
      </c>
      <c r="O136" s="290">
        <v>-43.794124065545944</v>
      </c>
      <c r="P136" s="290">
        <v>-3.9598307998797253</v>
      </c>
      <c r="Q136" s="283">
        <v>0</v>
      </c>
      <c r="R136" s="283">
        <v>0</v>
      </c>
      <c r="S136" s="283">
        <v>0</v>
      </c>
      <c r="T136" s="284">
        <v>-4.1666666666666714</v>
      </c>
      <c r="U136" s="284">
        <v>-23.740740740740748</v>
      </c>
      <c r="V136" s="284">
        <v>-0.42592592592592382</v>
      </c>
      <c r="W136" s="285">
        <v>-15</v>
      </c>
      <c r="X136" s="285">
        <v>-43.981481481481481</v>
      </c>
      <c r="Y136" s="285">
        <v>-3.7962962962962905</v>
      </c>
      <c r="Z136" s="639">
        <v>91.830266212101435</v>
      </c>
      <c r="AA136" s="639">
        <v>6.7435789945630349</v>
      </c>
      <c r="AB136" s="639">
        <v>1.426154793335533</v>
      </c>
      <c r="AC136" s="388">
        <v>8.1697337878985685</v>
      </c>
      <c r="AE136" s="323">
        <v>2.4129121986088222</v>
      </c>
      <c r="AF136" s="323">
        <v>24.490837582635137</v>
      </c>
      <c r="AG136" s="323">
        <v>39.834293265666219</v>
      </c>
      <c r="AH136" s="635">
        <v>12909.207722377001</v>
      </c>
      <c r="AI136" s="148"/>
      <c r="AJ136" s="584"/>
      <c r="AK136" s="584"/>
    </row>
    <row r="137" spans="1:37" ht="18" customHeight="1" x14ac:dyDescent="0.3">
      <c r="A137" s="146" t="s">
        <v>181</v>
      </c>
      <c r="B137" s="295" t="s">
        <v>208</v>
      </c>
      <c r="C137" s="146" t="s">
        <v>216</v>
      </c>
      <c r="D137" s="295" t="s">
        <v>217</v>
      </c>
      <c r="E137" s="341" t="s">
        <v>886</v>
      </c>
      <c r="F137" s="321"/>
      <c r="G137" s="322"/>
      <c r="H137" s="114">
        <v>-4.2463943189282247</v>
      </c>
      <c r="I137" s="114">
        <v>-7.5816582613104231</v>
      </c>
      <c r="J137" s="114">
        <v>-1.478826295248993</v>
      </c>
      <c r="K137" s="115">
        <v>-7.997898732959797</v>
      </c>
      <c r="L137" s="115">
        <v>-28.118111001789529</v>
      </c>
      <c r="M137" s="115">
        <v>-1.7254041164906795</v>
      </c>
      <c r="N137" s="290">
        <v>-16.664037274631085</v>
      </c>
      <c r="O137" s="290">
        <v>-44.164004933852702</v>
      </c>
      <c r="P137" s="290">
        <v>-4.2079484825396207</v>
      </c>
      <c r="Q137" s="283">
        <v>0</v>
      </c>
      <c r="R137" s="283">
        <v>0</v>
      </c>
      <c r="S137" s="283">
        <v>0</v>
      </c>
      <c r="T137" s="284">
        <v>-4.1666666666666714</v>
      </c>
      <c r="U137" s="284">
        <v>-23.740740740740748</v>
      </c>
      <c r="V137" s="284">
        <v>-0.42592592592592382</v>
      </c>
      <c r="W137" s="285">
        <v>-15</v>
      </c>
      <c r="X137" s="285">
        <v>-43.981481481481481</v>
      </c>
      <c r="Y137" s="285">
        <v>-3.7962962962962905</v>
      </c>
      <c r="Z137" s="639">
        <v>82.265416557194811</v>
      </c>
      <c r="AA137" s="639">
        <v>10.559431727505233</v>
      </c>
      <c r="AB137" s="639">
        <v>7.1751517152999655</v>
      </c>
      <c r="AC137" s="388">
        <v>17.734583442805199</v>
      </c>
      <c r="AE137" s="323">
        <v>6.1028319660614301</v>
      </c>
      <c r="AF137" s="323">
        <v>26.39270688529885</v>
      </c>
      <c r="AG137" s="323">
        <v>39.956056451313081</v>
      </c>
      <c r="AH137" s="635">
        <v>19935.376965959</v>
      </c>
      <c r="AI137" s="148"/>
      <c r="AJ137" s="584"/>
      <c r="AK137" s="584"/>
    </row>
    <row r="138" spans="1:37" ht="18" customHeight="1" x14ac:dyDescent="0.3">
      <c r="A138" s="146" t="s">
        <v>181</v>
      </c>
      <c r="B138" s="295" t="s">
        <v>208</v>
      </c>
      <c r="C138" s="146" t="s">
        <v>218</v>
      </c>
      <c r="D138" s="296" t="s">
        <v>219</v>
      </c>
      <c r="E138" s="323"/>
      <c r="F138" s="338" t="s">
        <v>187</v>
      </c>
      <c r="G138" s="324" t="s">
        <v>187</v>
      </c>
      <c r="H138" s="114">
        <v>-11.223107649839363</v>
      </c>
      <c r="I138" s="114">
        <v>-21.105659727654995</v>
      </c>
      <c r="J138" s="114">
        <v>-5.870435948987847</v>
      </c>
      <c r="K138" s="115">
        <v>-14.218805187532809</v>
      </c>
      <c r="L138" s="115">
        <v>-33.350524060340462</v>
      </c>
      <c r="M138" s="115">
        <v>0.34974813734118015</v>
      </c>
      <c r="N138" s="290">
        <v>-17.669683091499252</v>
      </c>
      <c r="O138" s="290">
        <v>-45.113382478537837</v>
      </c>
      <c r="P138" s="290">
        <v>7.3243676150142534</v>
      </c>
      <c r="Q138" s="283">
        <v>0</v>
      </c>
      <c r="R138" s="283">
        <v>0</v>
      </c>
      <c r="S138" s="283">
        <v>0</v>
      </c>
      <c r="T138" s="284">
        <v>-2.7142857142857082</v>
      </c>
      <c r="U138" s="284">
        <v>-14.35374149659863</v>
      </c>
      <c r="V138" s="284">
        <v>7.2607709750567011</v>
      </c>
      <c r="W138" s="285">
        <v>-11</v>
      </c>
      <c r="X138" s="285">
        <v>-34.841269841269849</v>
      </c>
      <c r="Y138" s="285">
        <v>16.746031746031747</v>
      </c>
      <c r="Z138" s="639">
        <v>57.248789248792676</v>
      </c>
      <c r="AA138" s="639">
        <v>33.642042688611646</v>
      </c>
      <c r="AB138" s="639">
        <v>9.109168062595689</v>
      </c>
      <c r="AC138" s="388">
        <v>42.751210751207338</v>
      </c>
      <c r="AE138" s="323">
        <v>15.235223778667148</v>
      </c>
      <c r="AF138" s="323">
        <v>33.700272197681642</v>
      </c>
      <c r="AG138" s="323">
        <v>52.43775009355209</v>
      </c>
      <c r="AH138" s="635">
        <v>6758.1785965771505</v>
      </c>
      <c r="AI138" s="148"/>
      <c r="AJ138" s="584"/>
      <c r="AK138" s="584"/>
    </row>
    <row r="139" spans="1:37" ht="18" customHeight="1" x14ac:dyDescent="0.3">
      <c r="A139" s="146" t="s">
        <v>181</v>
      </c>
      <c r="B139" s="295" t="s">
        <v>208</v>
      </c>
      <c r="C139" s="146" t="s">
        <v>221</v>
      </c>
      <c r="D139" s="295" t="s">
        <v>222</v>
      </c>
      <c r="E139" s="341" t="s">
        <v>888</v>
      </c>
      <c r="F139" s="321" t="s">
        <v>188</v>
      </c>
      <c r="G139" s="322"/>
      <c r="H139" s="114">
        <v>-8.8015655632675873</v>
      </c>
      <c r="I139" s="114">
        <v>-12.867598374464478</v>
      </c>
      <c r="J139" s="114">
        <v>-4.5087178173991731</v>
      </c>
      <c r="K139" s="115">
        <v>-11.430183921046435</v>
      </c>
      <c r="L139" s="115">
        <v>-26.210521577739712</v>
      </c>
      <c r="M139" s="115">
        <v>-3.3306827204300617</v>
      </c>
      <c r="N139" s="290">
        <v>-20.018543370415713</v>
      </c>
      <c r="O139" s="290">
        <v>-41.398009506522449</v>
      </c>
      <c r="P139" s="290">
        <v>-5.9756216357830567</v>
      </c>
      <c r="Q139" s="283">
        <v>0</v>
      </c>
      <c r="R139" s="283">
        <v>0</v>
      </c>
      <c r="S139" s="283">
        <v>0</v>
      </c>
      <c r="T139" s="284">
        <v>-2.7142857142857082</v>
      </c>
      <c r="U139" s="284">
        <v>-15.011337868480723</v>
      </c>
      <c r="V139" s="284">
        <v>0.12471655328798192</v>
      </c>
      <c r="W139" s="285">
        <v>-14.285714285714292</v>
      </c>
      <c r="X139" s="285">
        <v>-34.421768707482997</v>
      </c>
      <c r="Y139" s="285">
        <v>-4.3764172335600904</v>
      </c>
      <c r="Z139" s="639">
        <v>78.892364461986176</v>
      </c>
      <c r="AA139" s="639">
        <v>11.623785063487151</v>
      </c>
      <c r="AB139" s="639">
        <v>9.4838504745266761</v>
      </c>
      <c r="AC139" s="388">
        <v>21.107635538013827</v>
      </c>
      <c r="AE139" s="323">
        <v>8.3588805570653051</v>
      </c>
      <c r="AF139" s="323">
        <v>22.87983885730965</v>
      </c>
      <c r="AG139" s="323">
        <v>35.422387870739392</v>
      </c>
      <c r="AH139" s="635">
        <v>2262.6836013085899</v>
      </c>
      <c r="AI139" s="148"/>
      <c r="AJ139" s="584"/>
      <c r="AK139" s="584"/>
    </row>
    <row r="140" spans="1:37" ht="18" customHeight="1" x14ac:dyDescent="0.3">
      <c r="A140" s="146" t="s">
        <v>181</v>
      </c>
      <c r="B140" s="295" t="s">
        <v>208</v>
      </c>
      <c r="C140" s="146" t="s">
        <v>225</v>
      </c>
      <c r="D140" s="295" t="s">
        <v>226</v>
      </c>
      <c r="E140" s="341" t="s">
        <v>201</v>
      </c>
      <c r="F140" s="321" t="s">
        <v>227</v>
      </c>
      <c r="G140" s="322" t="s">
        <v>227</v>
      </c>
      <c r="H140" s="114">
        <v>-7.4023914476256181</v>
      </c>
      <c r="I140" s="114">
        <v>-14.689311031899109</v>
      </c>
      <c r="J140" s="114">
        <v>-3.2011493439726024</v>
      </c>
      <c r="K140" s="115">
        <v>-13.307446543778411</v>
      </c>
      <c r="L140" s="115">
        <v>-38.388333153122566</v>
      </c>
      <c r="M140" s="115">
        <v>-2.534964285226522</v>
      </c>
      <c r="N140" s="290">
        <v>-33.562670957397984</v>
      </c>
      <c r="O140" s="290">
        <v>-61.879684021395491</v>
      </c>
      <c r="P140" s="290">
        <v>-14.136638928614374</v>
      </c>
      <c r="Q140" s="283">
        <v>0</v>
      </c>
      <c r="R140" s="283">
        <v>0</v>
      </c>
      <c r="S140" s="283">
        <v>0</v>
      </c>
      <c r="T140" s="284">
        <v>-5.875</v>
      </c>
      <c r="U140" s="284">
        <v>-26.888888888888886</v>
      </c>
      <c r="V140" s="284">
        <v>0.88888888888888573</v>
      </c>
      <c r="W140" s="285">
        <v>-28.125</v>
      </c>
      <c r="X140" s="285">
        <v>-54.722222222222214</v>
      </c>
      <c r="Y140" s="285">
        <v>-12.5</v>
      </c>
      <c r="Z140" s="639">
        <v>74.054794283716561</v>
      </c>
      <c r="AA140" s="639">
        <v>16.292533863849798</v>
      </c>
      <c r="AB140" s="639">
        <v>9.6526718524336363</v>
      </c>
      <c r="AC140" s="388">
        <v>25.945205716283432</v>
      </c>
      <c r="AE140" s="323">
        <v>11.488161687926507</v>
      </c>
      <c r="AF140" s="323">
        <v>35.853368867896044</v>
      </c>
      <c r="AG140" s="323">
        <v>47.743045092781117</v>
      </c>
      <c r="AH140" s="635">
        <v>3611.0268582065401</v>
      </c>
      <c r="AI140" s="148"/>
      <c r="AJ140" s="584"/>
      <c r="AK140" s="584"/>
    </row>
    <row r="141" spans="1:37" ht="18" customHeight="1" x14ac:dyDescent="0.3">
      <c r="A141" s="146" t="s">
        <v>181</v>
      </c>
      <c r="B141" s="295" t="s">
        <v>208</v>
      </c>
      <c r="C141" s="146" t="s">
        <v>228</v>
      </c>
      <c r="D141" s="146" t="s">
        <v>229</v>
      </c>
      <c r="E141" s="323"/>
      <c r="F141" s="338" t="s">
        <v>187</v>
      </c>
      <c r="G141" s="324" t="s">
        <v>188</v>
      </c>
      <c r="H141" s="114">
        <v>-23.185258226048845</v>
      </c>
      <c r="I141" s="114">
        <v>-40.823183639196245</v>
      </c>
      <c r="J141" s="114">
        <v>-10.758372240091148</v>
      </c>
      <c r="K141" s="115">
        <v>-20.871790148146829</v>
      </c>
      <c r="L141" s="115">
        <v>-55.241333658389884</v>
      </c>
      <c r="M141" s="115">
        <v>3.1361025183217919</v>
      </c>
      <c r="N141" s="290">
        <v>-13.69373619751579</v>
      </c>
      <c r="O141" s="290">
        <v>-53.150051479633468</v>
      </c>
      <c r="P141" s="290">
        <v>19.747773382279888</v>
      </c>
      <c r="Q141" s="283">
        <v>0</v>
      </c>
      <c r="R141" s="283">
        <v>0</v>
      </c>
      <c r="S141" s="283">
        <v>0</v>
      </c>
      <c r="T141" s="284">
        <v>-0.375</v>
      </c>
      <c r="U141" s="284">
        <v>-31.908730158730151</v>
      </c>
      <c r="V141" s="284">
        <v>18.547619047619051</v>
      </c>
      <c r="W141" s="285">
        <v>-0.625</v>
      </c>
      <c r="X141" s="285">
        <v>-38.402777777777771</v>
      </c>
      <c r="Y141" s="285">
        <v>34.722222222222229</v>
      </c>
      <c r="Z141" s="639">
        <v>33.024017729008648</v>
      </c>
      <c r="AA141" s="639">
        <v>45.627171299891899</v>
      </c>
      <c r="AB141" s="639">
        <v>21.348810971099457</v>
      </c>
      <c r="AC141" s="388">
        <v>66.975982270991352</v>
      </c>
      <c r="AE141" s="323">
        <v>30.064811399105096</v>
      </c>
      <c r="AF141" s="323">
        <v>58.377436176711676</v>
      </c>
      <c r="AG141" s="323">
        <v>72.897824861913364</v>
      </c>
      <c r="AH141" s="635">
        <v>6395.69114234277</v>
      </c>
      <c r="AI141" s="148"/>
      <c r="AJ141" s="584"/>
      <c r="AK141" s="584"/>
    </row>
    <row r="142" spans="1:37" ht="18" customHeight="1" x14ac:dyDescent="0.3">
      <c r="A142" s="146" t="s">
        <v>181</v>
      </c>
      <c r="B142" s="295" t="s">
        <v>208</v>
      </c>
      <c r="C142" s="146" t="s">
        <v>230</v>
      </c>
      <c r="D142" s="295" t="s">
        <v>231</v>
      </c>
      <c r="E142" s="341" t="s">
        <v>888</v>
      </c>
      <c r="F142" s="321" t="s">
        <v>192</v>
      </c>
      <c r="G142" s="322"/>
      <c r="H142" s="114">
        <v>-36.432385238205669</v>
      </c>
      <c r="I142" s="114">
        <v>-52.608883948708488</v>
      </c>
      <c r="J142" s="114">
        <v>-18.115388116873447</v>
      </c>
      <c r="K142" s="115">
        <v>-40.580381241791329</v>
      </c>
      <c r="L142" s="115">
        <v>-61.659092844092498</v>
      </c>
      <c r="M142" s="115">
        <v>-14.196192606127596</v>
      </c>
      <c r="N142" s="290">
        <v>-43.036228130770574</v>
      </c>
      <c r="O142" s="290">
        <v>-67.012408308587894</v>
      </c>
      <c r="P142" s="290">
        <v>-13.42555681547077</v>
      </c>
      <c r="Q142" s="283">
        <v>0</v>
      </c>
      <c r="R142" s="283">
        <v>0</v>
      </c>
      <c r="S142" s="283">
        <v>0</v>
      </c>
      <c r="T142" s="284">
        <v>-3</v>
      </c>
      <c r="U142" s="284">
        <v>-17.460317460317455</v>
      </c>
      <c r="V142" s="284">
        <v>-0.6916099773242621</v>
      </c>
      <c r="W142" s="285">
        <v>-17.142857142857139</v>
      </c>
      <c r="X142" s="285">
        <v>-38.17460317460317</v>
      </c>
      <c r="Y142" s="285">
        <v>-4.7165532879818528</v>
      </c>
      <c r="Z142" s="639">
        <v>14.999370969765906</v>
      </c>
      <c r="AA142" s="639">
        <v>41.197390089363573</v>
      </c>
      <c r="AB142" s="639">
        <v>43.803238940870521</v>
      </c>
      <c r="AC142" s="388">
        <v>85.000629030234094</v>
      </c>
      <c r="AE142" s="323">
        <v>34.493495831835041</v>
      </c>
      <c r="AF142" s="323">
        <v>47.462900237964902</v>
      </c>
      <c r="AG142" s="323">
        <v>53.586851493117123</v>
      </c>
      <c r="AH142" s="635">
        <v>12113.117916314501</v>
      </c>
      <c r="AI142" s="148"/>
      <c r="AJ142" s="584"/>
      <c r="AK142" s="584"/>
    </row>
    <row r="143" spans="1:37" ht="18" customHeight="1" x14ac:dyDescent="0.3">
      <c r="A143" s="146" t="s">
        <v>181</v>
      </c>
      <c r="B143" s="295" t="s">
        <v>182</v>
      </c>
      <c r="C143" s="146" t="s">
        <v>232</v>
      </c>
      <c r="D143" s="295" t="s">
        <v>233</v>
      </c>
      <c r="E143" s="341" t="s">
        <v>187</v>
      </c>
      <c r="F143" s="321" t="s">
        <v>187</v>
      </c>
      <c r="G143" s="322" t="s">
        <v>187</v>
      </c>
      <c r="H143" s="114">
        <v>-15.224403577388415</v>
      </c>
      <c r="I143" s="114">
        <v>-25.249516475323688</v>
      </c>
      <c r="J143" s="114">
        <v>-4.3449213143569381</v>
      </c>
      <c r="K143" s="115">
        <v>-16.231196522412517</v>
      </c>
      <c r="L143" s="115">
        <v>-42.658607515849148</v>
      </c>
      <c r="M143" s="115">
        <v>4.6959807868771293</v>
      </c>
      <c r="N143" s="290">
        <v>-14.476627195523378</v>
      </c>
      <c r="O143" s="290">
        <v>-41.303371471470506</v>
      </c>
      <c r="P143" s="290">
        <v>8.8179355660685417</v>
      </c>
      <c r="Q143" s="283">
        <v>0</v>
      </c>
      <c r="R143" s="283">
        <v>0</v>
      </c>
      <c r="S143" s="283">
        <v>0</v>
      </c>
      <c r="T143" s="284">
        <v>-3</v>
      </c>
      <c r="U143" s="284">
        <v>-31.611111111111114</v>
      </c>
      <c r="V143" s="284">
        <v>10.414682539682545</v>
      </c>
      <c r="W143" s="285">
        <v>-8.125</v>
      </c>
      <c r="X143" s="285">
        <v>-37.519841269841265</v>
      </c>
      <c r="Y143" s="285">
        <v>13.055555555555557</v>
      </c>
      <c r="Z143" s="639">
        <v>43.866842285843418</v>
      </c>
      <c r="AA143" s="639">
        <v>37.204938015773934</v>
      </c>
      <c r="AB143" s="639">
        <v>18.928219698382645</v>
      </c>
      <c r="AC143" s="388">
        <v>56.133157714156582</v>
      </c>
      <c r="AE143" s="323">
        <v>20.90459516096675</v>
      </c>
      <c r="AF143" s="323">
        <v>47.354588302726278</v>
      </c>
      <c r="AG143" s="323">
        <v>50.121307037539047</v>
      </c>
      <c r="AH143" s="635">
        <v>26498.4955424824</v>
      </c>
      <c r="AI143" s="148"/>
      <c r="AJ143" s="584"/>
      <c r="AK143" s="584"/>
    </row>
    <row r="144" spans="1:37" ht="18" customHeight="1" x14ac:dyDescent="0.3">
      <c r="A144" s="146" t="s">
        <v>181</v>
      </c>
      <c r="B144" s="295" t="s">
        <v>182</v>
      </c>
      <c r="C144" s="146" t="s">
        <v>235</v>
      </c>
      <c r="D144" s="295" t="s">
        <v>236</v>
      </c>
      <c r="E144" s="341" t="s">
        <v>887</v>
      </c>
      <c r="F144" s="321" t="s">
        <v>192</v>
      </c>
      <c r="G144" s="322"/>
      <c r="H144" s="114">
        <v>-18.862961319752401</v>
      </c>
      <c r="I144" s="114">
        <v>-31.483307460635217</v>
      </c>
      <c r="J144" s="114">
        <v>-5.3231725952772848</v>
      </c>
      <c r="K144" s="115">
        <v>-19.386998519880336</v>
      </c>
      <c r="L144" s="115">
        <v>-45.241757142809533</v>
      </c>
      <c r="M144" s="115">
        <v>3.42395858584797</v>
      </c>
      <c r="N144" s="290">
        <v>-15.84094241332437</v>
      </c>
      <c r="O144" s="290">
        <v>-42.090213355830926</v>
      </c>
      <c r="P144" s="290">
        <v>7.8439074233192088</v>
      </c>
      <c r="Q144" s="283">
        <v>0</v>
      </c>
      <c r="R144" s="283">
        <v>0</v>
      </c>
      <c r="S144" s="283">
        <v>0</v>
      </c>
      <c r="T144" s="284">
        <v>-3</v>
      </c>
      <c r="U144" s="284">
        <v>-31.611111111111114</v>
      </c>
      <c r="V144" s="284">
        <v>10.414682539682545</v>
      </c>
      <c r="W144" s="285">
        <v>-8.125</v>
      </c>
      <c r="X144" s="285">
        <v>-37.519841269841265</v>
      </c>
      <c r="Y144" s="285">
        <v>13.055555555555557</v>
      </c>
      <c r="Z144" s="639">
        <v>29.020492811511907</v>
      </c>
      <c r="AA144" s="639">
        <v>48.915239727913836</v>
      </c>
      <c r="AB144" s="639">
        <v>22.064267460574257</v>
      </c>
      <c r="AC144" s="388">
        <v>70.9795071884881</v>
      </c>
      <c r="AE144" s="323">
        <v>26.160134865357932</v>
      </c>
      <c r="AF144" s="323">
        <v>48.665715728657503</v>
      </c>
      <c r="AG144" s="323">
        <v>49.934120779150135</v>
      </c>
      <c r="AH144" s="635">
        <v>9341.7310837006789</v>
      </c>
      <c r="AI144" s="148"/>
      <c r="AJ144" s="584"/>
      <c r="AK144" s="584"/>
    </row>
    <row r="145" spans="1:37" ht="18" customHeight="1" x14ac:dyDescent="0.3">
      <c r="A145" s="146" t="s">
        <v>181</v>
      </c>
      <c r="B145" s="295" t="s">
        <v>182</v>
      </c>
      <c r="C145" s="146" t="s">
        <v>237</v>
      </c>
      <c r="D145" s="295" t="s">
        <v>238</v>
      </c>
      <c r="E145" s="341" t="s">
        <v>887</v>
      </c>
      <c r="F145" s="321" t="s">
        <v>192</v>
      </c>
      <c r="G145" s="322"/>
      <c r="H145" s="114">
        <v>-13.176481615806694</v>
      </c>
      <c r="I145" s="114">
        <v>-21.743696096874714</v>
      </c>
      <c r="J145" s="114">
        <v>-3.7934781060899496</v>
      </c>
      <c r="K145" s="115">
        <v>-14.454898523568701</v>
      </c>
      <c r="L145" s="115">
        <v>-41.203907405017851</v>
      </c>
      <c r="M145" s="115">
        <v>5.4132552174548181</v>
      </c>
      <c r="N145" s="290">
        <v>-13.706578088796249</v>
      </c>
      <c r="O145" s="290">
        <v>-40.858856705058166</v>
      </c>
      <c r="P145" s="290">
        <v>9.3667008572115265</v>
      </c>
      <c r="Q145" s="283">
        <v>0</v>
      </c>
      <c r="R145" s="283">
        <v>0</v>
      </c>
      <c r="S145" s="283">
        <v>0</v>
      </c>
      <c r="T145" s="284">
        <v>-3</v>
      </c>
      <c r="U145" s="284">
        <v>-31.611111111111114</v>
      </c>
      <c r="V145" s="284">
        <v>10.414682539682545</v>
      </c>
      <c r="W145" s="285">
        <v>-8.125</v>
      </c>
      <c r="X145" s="285">
        <v>-37.519841269841265</v>
      </c>
      <c r="Y145" s="285">
        <v>13.055555555555557</v>
      </c>
      <c r="Z145" s="639">
        <v>52.202843020330874</v>
      </c>
      <c r="AA145" s="639">
        <v>30.653524335581018</v>
      </c>
      <c r="AB145" s="639">
        <v>17.143632644088118</v>
      </c>
      <c r="AC145" s="388">
        <v>47.79715697966914</v>
      </c>
      <c r="AE145" s="323">
        <v>17.950217990784765</v>
      </c>
      <c r="AF145" s="323">
        <v>46.617162622472669</v>
      </c>
      <c r="AG145" s="323">
        <v>50.225557562269692</v>
      </c>
      <c r="AH145" s="635">
        <v>17048.627109386201</v>
      </c>
      <c r="AI145" s="148"/>
      <c r="AJ145" s="584"/>
      <c r="AK145" s="584"/>
    </row>
    <row r="146" spans="1:37" ht="18" customHeight="1" x14ac:dyDescent="0.3">
      <c r="A146" s="146" t="s">
        <v>181</v>
      </c>
      <c r="B146" s="295" t="s">
        <v>182</v>
      </c>
      <c r="C146" s="146" t="s">
        <v>239</v>
      </c>
      <c r="D146" s="295" t="s">
        <v>240</v>
      </c>
      <c r="E146" s="341" t="s">
        <v>201</v>
      </c>
      <c r="F146" s="321" t="s">
        <v>201</v>
      </c>
      <c r="G146" s="322" t="s">
        <v>187</v>
      </c>
      <c r="H146" s="114">
        <v>-4.2901457065665909</v>
      </c>
      <c r="I146" s="114">
        <v>-7.2669074045959832</v>
      </c>
      <c r="J146" s="114">
        <v>-1.0729031313644697</v>
      </c>
      <c r="K146" s="115">
        <v>-6.8204583410292514</v>
      </c>
      <c r="L146" s="115">
        <v>-35.002750662909548</v>
      </c>
      <c r="M146" s="115">
        <v>9.5048683775020493</v>
      </c>
      <c r="N146" s="290">
        <v>-8.110817427014041</v>
      </c>
      <c r="O146" s="290">
        <v>-37.368467500610528</v>
      </c>
      <c r="P146" s="290">
        <v>12.965260430801479</v>
      </c>
      <c r="Q146" s="283">
        <v>0</v>
      </c>
      <c r="R146" s="283">
        <v>0</v>
      </c>
      <c r="S146" s="283">
        <v>0</v>
      </c>
      <c r="T146" s="284">
        <v>-3</v>
      </c>
      <c r="U146" s="284">
        <v>-32.277544351073757</v>
      </c>
      <c r="V146" s="284">
        <v>10.902544351073772</v>
      </c>
      <c r="W146" s="285">
        <v>-6.25</v>
      </c>
      <c r="X146" s="285">
        <v>-36.376633986928105</v>
      </c>
      <c r="Y146" s="285">
        <v>14.23377684407096</v>
      </c>
      <c r="Z146" s="639">
        <v>82.457846924722872</v>
      </c>
      <c r="AA146" s="639">
        <v>14.311599319020788</v>
      </c>
      <c r="AB146" s="639">
        <v>3.2305537562563464</v>
      </c>
      <c r="AC146" s="388">
        <v>17.542153075277135</v>
      </c>
      <c r="AE146" s="323">
        <v>6.1940042732315135</v>
      </c>
      <c r="AF146" s="323">
        <v>44.507619040411598</v>
      </c>
      <c r="AG146" s="323">
        <v>50.333727931412007</v>
      </c>
      <c r="AH146" s="635">
        <v>2233.41725083252</v>
      </c>
      <c r="AI146" s="148"/>
      <c r="AJ146" s="584"/>
      <c r="AK146" s="584"/>
    </row>
    <row r="147" spans="1:37" ht="18" customHeight="1" x14ac:dyDescent="0.3">
      <c r="A147" s="146" t="s">
        <v>181</v>
      </c>
      <c r="B147" s="295" t="s">
        <v>182</v>
      </c>
      <c r="C147" s="146" t="s">
        <v>241</v>
      </c>
      <c r="D147" s="295" t="s">
        <v>242</v>
      </c>
      <c r="E147" s="341" t="s">
        <v>201</v>
      </c>
      <c r="F147" s="321" t="s">
        <v>201</v>
      </c>
      <c r="G147" s="322" t="s">
        <v>187</v>
      </c>
      <c r="H147" s="114">
        <v>-9.8798095149320488</v>
      </c>
      <c r="I147" s="114">
        <v>-16.547997320550351</v>
      </c>
      <c r="J147" s="114">
        <v>-2.9889216137208052</v>
      </c>
      <c r="K147" s="115">
        <v>-9.6465588641604256</v>
      </c>
      <c r="L147" s="115">
        <v>-37.085544834863484</v>
      </c>
      <c r="M147" s="115">
        <v>8.9742604316082293</v>
      </c>
      <c r="N147" s="290">
        <v>-5.7234928572536177</v>
      </c>
      <c r="O147" s="290">
        <v>-36.657671494784346</v>
      </c>
      <c r="P147" s="290">
        <v>15.442627130084517</v>
      </c>
      <c r="Q147" s="283">
        <v>0</v>
      </c>
      <c r="R147" s="283">
        <v>0</v>
      </c>
      <c r="S147" s="283">
        <v>0</v>
      </c>
      <c r="T147" s="284">
        <v>-1.625</v>
      </c>
      <c r="U147" s="284">
        <v>-29.537698412698404</v>
      </c>
      <c r="V147" s="284">
        <v>12.327380952380949</v>
      </c>
      <c r="W147" s="285">
        <v>-1.625</v>
      </c>
      <c r="X147" s="285">
        <v>-33.105158730158735</v>
      </c>
      <c r="Y147" s="285">
        <v>18.63095238095238</v>
      </c>
      <c r="Z147" s="639">
        <v>63.295867879821607</v>
      </c>
      <c r="AA147" s="639">
        <v>23.583632112962729</v>
      </c>
      <c r="AB147" s="639">
        <v>13.120500007215659</v>
      </c>
      <c r="AC147" s="388">
        <v>36.704132120178386</v>
      </c>
      <c r="AE147" s="323">
        <v>13.559075706829546</v>
      </c>
      <c r="AF147" s="323">
        <v>46.059805266471713</v>
      </c>
      <c r="AG147" s="323">
        <v>52.100298624868863</v>
      </c>
      <c r="AH147" s="635">
        <v>31992.9801782461</v>
      </c>
      <c r="AI147" s="148"/>
      <c r="AJ147" s="584"/>
      <c r="AK147" s="584"/>
    </row>
    <row r="148" spans="1:37" ht="18" customHeight="1" x14ac:dyDescent="0.3">
      <c r="A148" s="146" t="s">
        <v>181</v>
      </c>
      <c r="B148" s="146" t="s">
        <v>197</v>
      </c>
      <c r="C148" s="146" t="s">
        <v>243</v>
      </c>
      <c r="D148" s="295" t="s">
        <v>244</v>
      </c>
      <c r="E148" s="341"/>
      <c r="F148" s="321" t="s">
        <v>201</v>
      </c>
      <c r="G148" s="322" t="s">
        <v>187</v>
      </c>
      <c r="H148" s="114">
        <v>-13.298130409275004</v>
      </c>
      <c r="I148" s="114">
        <v>-21.694098682653191</v>
      </c>
      <c r="J148" s="114">
        <v>-6.0350797771757954</v>
      </c>
      <c r="K148" s="115">
        <v>-19.253071179235008</v>
      </c>
      <c r="L148" s="115">
        <v>-33.820045150120833</v>
      </c>
      <c r="M148" s="115">
        <v>-6.7791876649224463</v>
      </c>
      <c r="N148" s="290">
        <v>-31.213126460482499</v>
      </c>
      <c r="O148" s="290">
        <v>-49.868308788754263</v>
      </c>
      <c r="P148" s="290">
        <v>-12.924967103966793</v>
      </c>
      <c r="Q148" s="283">
        <v>0</v>
      </c>
      <c r="R148" s="283">
        <v>0</v>
      </c>
      <c r="S148" s="283">
        <v>0</v>
      </c>
      <c r="T148" s="284">
        <v>-3.375</v>
      </c>
      <c r="U148" s="284">
        <v>-15.527777777777771</v>
      </c>
      <c r="V148" s="284">
        <v>0.81746031746031633</v>
      </c>
      <c r="W148" s="285">
        <v>-18.125</v>
      </c>
      <c r="X148" s="285">
        <v>-36.381886087768436</v>
      </c>
      <c r="Y148" s="285">
        <v>-6.9823762838468753</v>
      </c>
      <c r="Z148" s="639">
        <v>53.309780125999978</v>
      </c>
      <c r="AA148" s="639">
        <v>38.398806620000016</v>
      </c>
      <c r="AB148" s="639">
        <v>8.2914132540000018</v>
      </c>
      <c r="AC148" s="388">
        <v>46.690219874000022</v>
      </c>
      <c r="AE148" s="323">
        <v>15.659018905477396</v>
      </c>
      <c r="AF148" s="323">
        <v>27.040857485198387</v>
      </c>
      <c r="AG148" s="323">
        <v>36.94334168478747</v>
      </c>
      <c r="AH148" s="635">
        <v>363.327687056152</v>
      </c>
      <c r="AI148" s="148"/>
      <c r="AJ148" s="584"/>
      <c r="AK148" s="584"/>
    </row>
    <row r="149" spans="1:37" ht="18" customHeight="1" x14ac:dyDescent="0.3">
      <c r="A149" s="146" t="s">
        <v>181</v>
      </c>
      <c r="B149" s="146" t="s">
        <v>197</v>
      </c>
      <c r="C149" s="146" t="s">
        <v>245</v>
      </c>
      <c r="D149" s="146" t="s">
        <v>246</v>
      </c>
      <c r="E149" s="323"/>
      <c r="F149" s="338" t="s">
        <v>201</v>
      </c>
      <c r="G149" s="324" t="s">
        <v>188</v>
      </c>
      <c r="H149" s="114">
        <v>-26.506031912126588</v>
      </c>
      <c r="I149" s="114">
        <v>-43.454819348508479</v>
      </c>
      <c r="J149" s="114">
        <v>-11.647647269977625</v>
      </c>
      <c r="K149" s="115">
        <v>-34.577136330052241</v>
      </c>
      <c r="L149" s="115">
        <v>-51.20423812835498</v>
      </c>
      <c r="M149" s="115">
        <v>-13.390801724304808</v>
      </c>
      <c r="N149" s="290">
        <v>-39.027825978639171</v>
      </c>
      <c r="O149" s="290">
        <v>-57.7905249730767</v>
      </c>
      <c r="P149" s="290">
        <v>-13.936210421091133</v>
      </c>
      <c r="Q149" s="283">
        <v>0</v>
      </c>
      <c r="R149" s="283">
        <v>0</v>
      </c>
      <c r="S149" s="283">
        <v>0</v>
      </c>
      <c r="T149" s="284">
        <v>-1.75</v>
      </c>
      <c r="U149" s="284">
        <v>-14.632936507936506</v>
      </c>
      <c r="V149" s="284">
        <v>1.4146825396825449</v>
      </c>
      <c r="W149" s="285">
        <v>-10</v>
      </c>
      <c r="X149" s="285">
        <v>-25.210084033613441</v>
      </c>
      <c r="Y149" s="285">
        <v>-3.0199579831932795</v>
      </c>
      <c r="Z149" s="639">
        <v>9.0254001956082313</v>
      </c>
      <c r="AA149" s="639">
        <v>72.738923131524004</v>
      </c>
      <c r="AB149" s="639">
        <v>18.235676672867765</v>
      </c>
      <c r="AC149" s="388">
        <v>90.974599804391772</v>
      </c>
      <c r="AE149" s="323">
        <v>31.807172078530854</v>
      </c>
      <c r="AF149" s="323">
        <v>37.813436404050172</v>
      </c>
      <c r="AG149" s="323">
        <v>43.854314551985567</v>
      </c>
      <c r="AH149" s="635">
        <v>1054.9901702626998</v>
      </c>
      <c r="AI149" s="148"/>
      <c r="AJ149" s="584"/>
      <c r="AK149" s="584"/>
    </row>
    <row r="150" spans="1:37" ht="18" customHeight="1" x14ac:dyDescent="0.3">
      <c r="A150" s="146" t="s">
        <v>181</v>
      </c>
      <c r="B150" s="146" t="s">
        <v>197</v>
      </c>
      <c r="C150" s="146" t="s">
        <v>247</v>
      </c>
      <c r="D150" s="146" t="s">
        <v>248</v>
      </c>
      <c r="E150" s="341"/>
      <c r="F150" s="338" t="s">
        <v>201</v>
      </c>
      <c r="G150" s="324" t="s">
        <v>201</v>
      </c>
      <c r="H150" s="114">
        <v>-2.5662546677748281</v>
      </c>
      <c r="I150" s="114">
        <v>-4.0154713100621251</v>
      </c>
      <c r="J150" s="114">
        <v>-1.2504493962335061</v>
      </c>
      <c r="K150" s="115">
        <v>-6.2931747457837162</v>
      </c>
      <c r="L150" s="115">
        <v>-20.37137037341833</v>
      </c>
      <c r="M150" s="115">
        <v>-0.76313938989882502</v>
      </c>
      <c r="N150" s="290">
        <v>-20.043569523301656</v>
      </c>
      <c r="O150" s="290">
        <v>-39.486590870649657</v>
      </c>
      <c r="P150" s="290">
        <v>-8.2096790366684189</v>
      </c>
      <c r="Q150" s="283">
        <v>0</v>
      </c>
      <c r="R150" s="283">
        <v>0</v>
      </c>
      <c r="S150" s="283">
        <v>0</v>
      </c>
      <c r="T150" s="284">
        <v>-3.375</v>
      </c>
      <c r="U150" s="284">
        <v>-17.134920634920633</v>
      </c>
      <c r="V150" s="284">
        <v>0.63888888888888573</v>
      </c>
      <c r="W150" s="285">
        <v>-17.5</v>
      </c>
      <c r="X150" s="285">
        <v>-36.917600373482728</v>
      </c>
      <c r="Y150" s="285">
        <v>-6.9823762838468753</v>
      </c>
      <c r="Z150" s="639">
        <v>92.335178691164728</v>
      </c>
      <c r="AA150" s="639">
        <v>4.7260656299037587</v>
      </c>
      <c r="AB150" s="639">
        <v>2.9387556789315203</v>
      </c>
      <c r="AC150" s="388">
        <v>7.664821308835279</v>
      </c>
      <c r="AE150" s="323">
        <v>2.7650219138286189</v>
      </c>
      <c r="AF150" s="323">
        <v>19.608230983519505</v>
      </c>
      <c r="AG150" s="323">
        <v>31.276911833981238</v>
      </c>
      <c r="AH150" s="635">
        <v>819.01940313671901</v>
      </c>
      <c r="AI150" s="148"/>
      <c r="AJ150" s="584"/>
      <c r="AK150" s="584"/>
    </row>
    <row r="151" spans="1:37" ht="18" customHeight="1" x14ac:dyDescent="0.3">
      <c r="A151" s="146" t="s">
        <v>181</v>
      </c>
      <c r="B151" s="146" t="s">
        <v>197</v>
      </c>
      <c r="C151" s="146" t="s">
        <v>249</v>
      </c>
      <c r="D151" s="146" t="s">
        <v>250</v>
      </c>
      <c r="E151" s="323"/>
      <c r="F151" s="338" t="s">
        <v>201</v>
      </c>
      <c r="G151" s="324" t="s">
        <v>188</v>
      </c>
      <c r="H151" s="114">
        <v>-16.040613310665051</v>
      </c>
      <c r="I151" s="114">
        <v>-29.175552782455838</v>
      </c>
      <c r="J151" s="114">
        <v>-6.74228996674276</v>
      </c>
      <c r="K151" s="115">
        <v>-21.008858891692327</v>
      </c>
      <c r="L151" s="115">
        <v>-37.871378842186829</v>
      </c>
      <c r="M151" s="115">
        <v>-7.1676997409512211</v>
      </c>
      <c r="N151" s="290">
        <v>-29.027812174115368</v>
      </c>
      <c r="O151" s="290">
        <v>-44.667325481695066</v>
      </c>
      <c r="P151" s="290">
        <v>-9.5087440302133786</v>
      </c>
      <c r="Q151" s="283">
        <v>0</v>
      </c>
      <c r="R151" s="283">
        <v>0</v>
      </c>
      <c r="S151" s="283">
        <v>0</v>
      </c>
      <c r="T151" s="284">
        <v>-3.375</v>
      </c>
      <c r="U151" s="284">
        <v>-14.487861811391227</v>
      </c>
      <c r="V151" s="284">
        <v>-0.61111111111111427</v>
      </c>
      <c r="W151" s="285">
        <v>-13.75</v>
      </c>
      <c r="X151" s="285">
        <v>-28.224789915966383</v>
      </c>
      <c r="Y151" s="285">
        <v>-5.5934873949579753</v>
      </c>
      <c r="Z151" s="639">
        <v>36.161947466224483</v>
      </c>
      <c r="AA151" s="639">
        <v>43.280230307081133</v>
      </c>
      <c r="AB151" s="639">
        <v>20.557822226694384</v>
      </c>
      <c r="AC151" s="388">
        <v>63.838052533775517</v>
      </c>
      <c r="AE151" s="323">
        <v>22.433262815713078</v>
      </c>
      <c r="AF151" s="323">
        <v>30.703679101235608</v>
      </c>
      <c r="AG151" s="323">
        <v>35.158581451481687</v>
      </c>
      <c r="AH151" s="635">
        <v>20121.741741003898</v>
      </c>
      <c r="AI151" s="148"/>
      <c r="AJ151" s="584"/>
      <c r="AK151" s="584"/>
    </row>
    <row r="152" spans="1:37" ht="18" customHeight="1" x14ac:dyDescent="0.3">
      <c r="A152" s="146" t="s">
        <v>181</v>
      </c>
      <c r="B152" s="295" t="s">
        <v>182</v>
      </c>
      <c r="C152" s="146" t="s">
        <v>252</v>
      </c>
      <c r="D152" s="146" t="s">
        <v>253</v>
      </c>
      <c r="E152" s="323"/>
      <c r="F152" s="338" t="s">
        <v>187</v>
      </c>
      <c r="G152" s="324" t="s">
        <v>188</v>
      </c>
      <c r="H152" s="114">
        <v>-10.486975144509998</v>
      </c>
      <c r="I152" s="114">
        <v>-17.31065087045647</v>
      </c>
      <c r="J152" s="114">
        <v>-4.0492413194892123</v>
      </c>
      <c r="K152" s="115">
        <v>-9.1846876394309191</v>
      </c>
      <c r="L152" s="115">
        <v>-22.152056243932293</v>
      </c>
      <c r="M152" s="115">
        <v>0.12320680888426239</v>
      </c>
      <c r="N152" s="290">
        <v>-5.3283852716792239</v>
      </c>
      <c r="O152" s="290">
        <v>-21.285043031133057</v>
      </c>
      <c r="P152" s="290">
        <v>2.9703658573073284</v>
      </c>
      <c r="Q152" s="283">
        <v>0</v>
      </c>
      <c r="R152" s="283">
        <v>0</v>
      </c>
      <c r="S152" s="283">
        <v>0</v>
      </c>
      <c r="T152" s="284">
        <v>-2.25</v>
      </c>
      <c r="U152" s="284">
        <v>-11.561274509803923</v>
      </c>
      <c r="V152" s="284">
        <v>2.6764705882352899</v>
      </c>
      <c r="W152" s="285">
        <v>-2.875</v>
      </c>
      <c r="X152" s="285">
        <v>-15.964052287581694</v>
      </c>
      <c r="Y152" s="285">
        <v>3.5375816993464042</v>
      </c>
      <c r="Z152" s="639">
        <v>50.305369666406797</v>
      </c>
      <c r="AA152" s="639">
        <v>31.663993209846662</v>
      </c>
      <c r="AB152" s="639">
        <v>18.030637123746537</v>
      </c>
      <c r="AC152" s="388">
        <v>49.694630333593196</v>
      </c>
      <c r="AE152" s="323">
        <v>13.261409550967258</v>
      </c>
      <c r="AF152" s="323">
        <v>22.275263052816555</v>
      </c>
      <c r="AG152" s="323">
        <v>24.255408888440385</v>
      </c>
      <c r="AH152" s="635">
        <v>16278.7071357729</v>
      </c>
      <c r="AI152" s="148"/>
      <c r="AJ152" s="584"/>
      <c r="AK152" s="584"/>
    </row>
    <row r="153" spans="1:37" ht="18" customHeight="1" x14ac:dyDescent="0.3">
      <c r="A153" s="146" t="s">
        <v>181</v>
      </c>
      <c r="B153" s="295" t="s">
        <v>182</v>
      </c>
      <c r="C153" s="146" t="s">
        <v>254</v>
      </c>
      <c r="D153" s="146" t="s">
        <v>255</v>
      </c>
      <c r="E153" s="323"/>
      <c r="F153" s="338" t="s">
        <v>873</v>
      </c>
      <c r="G153" s="324" t="s">
        <v>188</v>
      </c>
      <c r="H153" s="114">
        <v>-3.2231469509708148</v>
      </c>
      <c r="I153" s="114">
        <v>-5.2778541339762199</v>
      </c>
      <c r="J153" s="114">
        <v>-1.9268040063062699</v>
      </c>
      <c r="K153" s="115">
        <v>-6.6189527481220125</v>
      </c>
      <c r="L153" s="115">
        <v>-18.186575506820546</v>
      </c>
      <c r="M153" s="115">
        <v>0.8858572558118567</v>
      </c>
      <c r="N153" s="290">
        <v>-7.4783296948735369</v>
      </c>
      <c r="O153" s="290">
        <v>-23.633114134536427</v>
      </c>
      <c r="P153" s="290">
        <v>2.0412360517158845</v>
      </c>
      <c r="Q153" s="283">
        <v>0</v>
      </c>
      <c r="R153" s="283">
        <v>0</v>
      </c>
      <c r="S153" s="283">
        <v>0</v>
      </c>
      <c r="T153" s="284">
        <v>-3.75</v>
      </c>
      <c r="U153" s="284">
        <v>-14.109126984126988</v>
      </c>
      <c r="V153" s="284">
        <v>2.8095238095238102</v>
      </c>
      <c r="W153" s="285">
        <v>-5.625</v>
      </c>
      <c r="X153" s="285">
        <v>-20.773809523809518</v>
      </c>
      <c r="Y153" s="285">
        <v>3.2738095238095184</v>
      </c>
      <c r="Z153" s="639">
        <v>88.727884714683555</v>
      </c>
      <c r="AA153" s="639">
        <v>6.6629916124836983</v>
      </c>
      <c r="AB153" s="639">
        <v>4.6091236728327463</v>
      </c>
      <c r="AC153" s="388">
        <v>11.272115285316445</v>
      </c>
      <c r="AE153" s="323">
        <v>3.35105012766995</v>
      </c>
      <c r="AF153" s="323">
        <v>19.072432762632403</v>
      </c>
      <c r="AG153" s="323">
        <v>25.674350186252312</v>
      </c>
      <c r="AH153" s="635">
        <v>658923.99970042799</v>
      </c>
      <c r="AI153" s="148"/>
      <c r="AJ153" s="584"/>
      <c r="AK153" s="584"/>
    </row>
    <row r="154" spans="1:37" ht="18" customHeight="1" x14ac:dyDescent="0.3">
      <c r="A154" s="146" t="s">
        <v>181</v>
      </c>
      <c r="B154" s="295" t="s">
        <v>182</v>
      </c>
      <c r="C154" s="146" t="s">
        <v>257</v>
      </c>
      <c r="D154" s="295" t="s">
        <v>258</v>
      </c>
      <c r="E154" s="323" t="s">
        <v>227</v>
      </c>
      <c r="F154" s="321" t="s">
        <v>227</v>
      </c>
      <c r="G154" s="322" t="s">
        <v>227</v>
      </c>
      <c r="H154" s="114">
        <v>-13.700010407432174</v>
      </c>
      <c r="I154" s="114">
        <v>-19.380902996839311</v>
      </c>
      <c r="J154" s="114">
        <v>-8.9796668187269404</v>
      </c>
      <c r="K154" s="115">
        <v>-20.589550018414741</v>
      </c>
      <c r="L154" s="115">
        <v>-54.730938902419474</v>
      </c>
      <c r="M154" s="115">
        <v>-8.2789657309489399</v>
      </c>
      <c r="N154" s="290">
        <v>-33.279464133066952</v>
      </c>
      <c r="O154" s="290">
        <v>-67.19544715255725</v>
      </c>
      <c r="P154" s="290">
        <v>-15.990437324458654</v>
      </c>
      <c r="Q154" s="283">
        <v>0</v>
      </c>
      <c r="R154" s="283">
        <v>0</v>
      </c>
      <c r="S154" s="283">
        <v>0</v>
      </c>
      <c r="T154" s="284">
        <v>-8.6666666666666714</v>
      </c>
      <c r="U154" s="284">
        <v>-45.024877007333153</v>
      </c>
      <c r="V154" s="284">
        <v>0.64299637983847902</v>
      </c>
      <c r="W154" s="285">
        <v>-24.444444444444443</v>
      </c>
      <c r="X154" s="285">
        <v>-60.759933603070849</v>
      </c>
      <c r="Y154" s="285">
        <v>-8.2700487602448334</v>
      </c>
      <c r="Z154" s="639">
        <v>73.870577466567255</v>
      </c>
      <c r="AA154" s="639">
        <v>4.7942265448038386</v>
      </c>
      <c r="AB154" s="639">
        <v>21.335195988628918</v>
      </c>
      <c r="AC154" s="388">
        <v>26.129422533432756</v>
      </c>
      <c r="AE154" s="323">
        <v>10.40123617811237</v>
      </c>
      <c r="AF154" s="323">
        <v>46.451973171470534</v>
      </c>
      <c r="AG154" s="323">
        <v>51.205009828098596</v>
      </c>
      <c r="AH154" s="635">
        <v>711.86925094482399</v>
      </c>
      <c r="AI154" s="148"/>
      <c r="AJ154" s="584"/>
      <c r="AK154" s="584"/>
    </row>
    <row r="155" spans="1:37" ht="18" customHeight="1" x14ac:dyDescent="0.3">
      <c r="A155" s="146" t="s">
        <v>181</v>
      </c>
      <c r="B155" s="295" t="s">
        <v>182</v>
      </c>
      <c r="C155" s="146" t="s">
        <v>259</v>
      </c>
      <c r="D155" s="146" t="s">
        <v>1283</v>
      </c>
      <c r="E155" s="323"/>
      <c r="F155" s="338" t="s">
        <v>188</v>
      </c>
      <c r="G155" s="324" t="s">
        <v>188</v>
      </c>
      <c r="H155" s="114">
        <v>-15.742102860253581</v>
      </c>
      <c r="I155" s="114">
        <v>-25.977019278164093</v>
      </c>
      <c r="J155" s="114">
        <v>-9.4055319825230583</v>
      </c>
      <c r="K155" s="115">
        <v>-17.894100627562068</v>
      </c>
      <c r="L155" s="115">
        <v>-34.064702251624837</v>
      </c>
      <c r="M155" s="115">
        <v>-6.5899198841470792</v>
      </c>
      <c r="N155" s="290">
        <v>-14.666079148628583</v>
      </c>
      <c r="O155" s="290">
        <v>-34.718222723978812</v>
      </c>
      <c r="P155" s="290">
        <v>-2.5600104422853605</v>
      </c>
      <c r="Q155" s="283">
        <v>0</v>
      </c>
      <c r="R155" s="283">
        <v>0</v>
      </c>
      <c r="S155" s="283">
        <v>0</v>
      </c>
      <c r="T155" s="284">
        <v>-3.75</v>
      </c>
      <c r="U155" s="284">
        <v>-14.109126984126988</v>
      </c>
      <c r="V155" s="284">
        <v>2.8095238095238102</v>
      </c>
      <c r="W155" s="285">
        <v>-5.625</v>
      </c>
      <c r="X155" s="285">
        <v>-20.773809523809518</v>
      </c>
      <c r="Y155" s="285">
        <v>3.2738095238095184</v>
      </c>
      <c r="Z155" s="639">
        <v>47.577542033135899</v>
      </c>
      <c r="AA155" s="639">
        <v>25.361452692723901</v>
      </c>
      <c r="AB155" s="639">
        <v>27.061005274140197</v>
      </c>
      <c r="AC155" s="388">
        <v>52.422457966864101</v>
      </c>
      <c r="AE155" s="323">
        <v>16.571487295641035</v>
      </c>
      <c r="AF155" s="323">
        <v>27.474782367477758</v>
      </c>
      <c r="AG155" s="323">
        <v>32.158212281693451</v>
      </c>
      <c r="AH155" s="635">
        <v>44203.5263745591</v>
      </c>
      <c r="AI155" s="148"/>
      <c r="AJ155" s="584"/>
      <c r="AK155" s="584"/>
    </row>
    <row r="156" spans="1:37" ht="18" customHeight="1" x14ac:dyDescent="0.3">
      <c r="A156" s="146" t="s">
        <v>181</v>
      </c>
      <c r="B156" s="295" t="s">
        <v>182</v>
      </c>
      <c r="C156" s="146" t="s">
        <v>260</v>
      </c>
      <c r="D156" s="295" t="s">
        <v>261</v>
      </c>
      <c r="E156" s="323" t="s">
        <v>227</v>
      </c>
      <c r="F156" s="321" t="s">
        <v>201</v>
      </c>
      <c r="G156" s="322" t="s">
        <v>227</v>
      </c>
      <c r="H156" s="114">
        <v>-12.481507010471674</v>
      </c>
      <c r="I156" s="114">
        <v>-18.941971738232183</v>
      </c>
      <c r="J156" s="114">
        <v>-7.3077061203880049</v>
      </c>
      <c r="K156" s="115">
        <v>-18.821380440051158</v>
      </c>
      <c r="L156" s="115">
        <v>-53.243534383912518</v>
      </c>
      <c r="M156" s="115">
        <v>-5.8409134100272126</v>
      </c>
      <c r="N156" s="290">
        <v>-31.250907297772045</v>
      </c>
      <c r="O156" s="290">
        <v>-66.624555873115838</v>
      </c>
      <c r="P156" s="290">
        <v>-15.892832715150234</v>
      </c>
      <c r="Q156" s="283">
        <v>0</v>
      </c>
      <c r="R156" s="283">
        <v>0</v>
      </c>
      <c r="S156" s="283">
        <v>0</v>
      </c>
      <c r="T156" s="284">
        <v>-8.6666666666666714</v>
      </c>
      <c r="U156" s="284">
        <v>-45.518704167826982</v>
      </c>
      <c r="V156" s="284">
        <v>0.64299637983847902</v>
      </c>
      <c r="W156" s="285">
        <v>-22.777777777777771</v>
      </c>
      <c r="X156" s="285">
        <v>-61.261022927689588</v>
      </c>
      <c r="Y156" s="285">
        <v>-9.2504409171075821</v>
      </c>
      <c r="Z156" s="639">
        <v>68.548332910316205</v>
      </c>
      <c r="AA156" s="639">
        <v>21.124477624521901</v>
      </c>
      <c r="AB156" s="639">
        <v>10.32718946516189</v>
      </c>
      <c r="AC156" s="388">
        <v>31.451667089683792</v>
      </c>
      <c r="AE156" s="323">
        <v>11.634265617844179</v>
      </c>
      <c r="AF156" s="323">
        <v>47.402620973885305</v>
      </c>
      <c r="AG156" s="323">
        <v>50.731723157965604</v>
      </c>
      <c r="AH156" s="635">
        <v>1829.4658982045901</v>
      </c>
      <c r="AI156" s="148"/>
      <c r="AJ156" s="584"/>
      <c r="AK156" s="584"/>
    </row>
    <row r="157" spans="1:37" ht="18" customHeight="1" x14ac:dyDescent="0.3">
      <c r="A157" s="146" t="s">
        <v>181</v>
      </c>
      <c r="B157" s="295" t="s">
        <v>182</v>
      </c>
      <c r="C157" s="146" t="s">
        <v>262</v>
      </c>
      <c r="D157" s="295" t="s">
        <v>263</v>
      </c>
      <c r="E157" s="323" t="s">
        <v>227</v>
      </c>
      <c r="F157" s="321" t="s">
        <v>227</v>
      </c>
      <c r="G157" s="322" t="s">
        <v>227</v>
      </c>
      <c r="H157" s="114">
        <v>0</v>
      </c>
      <c r="I157" s="114">
        <v>0</v>
      </c>
      <c r="J157" s="114">
        <v>0</v>
      </c>
      <c r="K157" s="115">
        <v>-5.125</v>
      </c>
      <c r="L157" s="115">
        <v>-21.281512605042025</v>
      </c>
      <c r="M157" s="115">
        <v>1.7717086834733919</v>
      </c>
      <c r="N157" s="290">
        <v>-20.625</v>
      </c>
      <c r="O157" s="290">
        <v>-51.668417366946777</v>
      </c>
      <c r="P157" s="290">
        <v>-3.3274976657329631</v>
      </c>
      <c r="Q157" s="283">
        <v>0</v>
      </c>
      <c r="R157" s="283">
        <v>0</v>
      </c>
      <c r="S157" s="283">
        <v>0</v>
      </c>
      <c r="T157" s="284">
        <v>-5.125</v>
      </c>
      <c r="U157" s="284">
        <v>-21.281512605042025</v>
      </c>
      <c r="V157" s="284">
        <v>1.7717086834733919</v>
      </c>
      <c r="W157" s="285">
        <v>-20.625</v>
      </c>
      <c r="X157" s="285">
        <v>-51.668417366946777</v>
      </c>
      <c r="Y157" s="285">
        <v>-3.3274976657329631</v>
      </c>
      <c r="Z157" s="639">
        <v>100</v>
      </c>
      <c r="AA157" s="639">
        <v>0</v>
      </c>
      <c r="AB157" s="639">
        <v>0</v>
      </c>
      <c r="AC157" s="388">
        <v>0</v>
      </c>
      <c r="AE157" s="323">
        <v>0</v>
      </c>
      <c r="AF157" s="323">
        <v>23.053221288515417</v>
      </c>
      <c r="AG157" s="323">
        <v>48.340919701213814</v>
      </c>
      <c r="AH157" s="635">
        <v>17.508660935546899</v>
      </c>
      <c r="AI157" s="148"/>
      <c r="AJ157" s="584"/>
      <c r="AK157" s="584"/>
    </row>
    <row r="158" spans="1:37" ht="18" customHeight="1" x14ac:dyDescent="0.3">
      <c r="A158" s="146" t="s">
        <v>181</v>
      </c>
      <c r="B158" s="295" t="s">
        <v>182</v>
      </c>
      <c r="C158" s="146" t="s">
        <v>264</v>
      </c>
      <c r="D158" s="146" t="s">
        <v>265</v>
      </c>
      <c r="E158" s="323"/>
      <c r="F158" s="338" t="s">
        <v>266</v>
      </c>
      <c r="G158" s="324" t="s">
        <v>267</v>
      </c>
      <c r="H158" s="114">
        <v>-5.708638582735631</v>
      </c>
      <c r="I158" s="114">
        <v>-9.9662376683652241</v>
      </c>
      <c r="J158" s="114">
        <v>-2.8378946246522645</v>
      </c>
      <c r="K158" s="115">
        <v>-7.907427447692271</v>
      </c>
      <c r="L158" s="115">
        <v>-18.259448229027385</v>
      </c>
      <c r="M158" s="115">
        <v>-0.50030723856424686</v>
      </c>
      <c r="N158" s="290">
        <v>-13.957239141150197</v>
      </c>
      <c r="O158" s="290">
        <v>-34.67283033179703</v>
      </c>
      <c r="P158" s="290">
        <v>1.2282551384751343</v>
      </c>
      <c r="Q158" s="283">
        <v>0</v>
      </c>
      <c r="R158" s="283">
        <v>0</v>
      </c>
      <c r="S158" s="283">
        <v>0</v>
      </c>
      <c r="T158" s="284">
        <v>-3.375</v>
      </c>
      <c r="U158" s="284">
        <v>-11.500816993464056</v>
      </c>
      <c r="V158" s="284">
        <v>2.1078431372549034</v>
      </c>
      <c r="W158" s="285">
        <v>-11</v>
      </c>
      <c r="X158" s="285">
        <v>-31.10294117647058</v>
      </c>
      <c r="Y158" s="285">
        <v>3.014705882352942</v>
      </c>
      <c r="Z158" s="639">
        <v>75.714193827717025</v>
      </c>
      <c r="AA158" s="639">
        <v>15.95082044321942</v>
      </c>
      <c r="AB158" s="639">
        <v>8.3349857290635612</v>
      </c>
      <c r="AC158" s="388">
        <v>24.285806172282982</v>
      </c>
      <c r="AE158" s="323">
        <v>7.1283430437129596</v>
      </c>
      <c r="AF158" s="323">
        <v>17.759140990463138</v>
      </c>
      <c r="AG158" s="323">
        <v>35.901085470272164</v>
      </c>
      <c r="AH158" s="635">
        <v>3571.3842998090799</v>
      </c>
      <c r="AI158" s="148"/>
      <c r="AJ158" s="584"/>
      <c r="AK158" s="584"/>
    </row>
    <row r="159" spans="1:37" ht="18" customHeight="1" x14ac:dyDescent="0.3">
      <c r="A159" s="146" t="s">
        <v>181</v>
      </c>
      <c r="B159" s="146" t="s">
        <v>197</v>
      </c>
      <c r="C159" s="146" t="s">
        <v>268</v>
      </c>
      <c r="D159" s="146" t="s">
        <v>269</v>
      </c>
      <c r="E159" s="323"/>
      <c r="F159" s="338" t="s">
        <v>267</v>
      </c>
      <c r="G159" s="324" t="s">
        <v>188</v>
      </c>
      <c r="N159" s="361"/>
      <c r="O159" s="361"/>
      <c r="P159" s="361"/>
      <c r="Q159" s="298"/>
      <c r="R159" s="298"/>
      <c r="S159" s="298"/>
      <c r="T159" s="300"/>
      <c r="U159" s="300"/>
      <c r="V159" s="300"/>
      <c r="W159" s="383"/>
      <c r="X159" s="383"/>
      <c r="Y159" s="383"/>
      <c r="Z159" s="639">
        <v>72.919284334438473</v>
      </c>
      <c r="AA159" s="639">
        <v>18.411481988423567</v>
      </c>
      <c r="AB159" s="639">
        <v>8.6692336771379708</v>
      </c>
      <c r="AC159" s="388">
        <v>27.080715665561538</v>
      </c>
      <c r="AH159" s="635">
        <v>91755.374947783901</v>
      </c>
      <c r="AI159" s="148"/>
      <c r="AJ159" s="584"/>
      <c r="AK159" s="584"/>
    </row>
    <row r="160" spans="1:37" ht="18" customHeight="1" x14ac:dyDescent="0.3">
      <c r="A160" s="146" t="s">
        <v>181</v>
      </c>
      <c r="B160" s="295" t="s">
        <v>182</v>
      </c>
      <c r="C160" s="146" t="s">
        <v>270</v>
      </c>
      <c r="D160" s="146" t="s">
        <v>271</v>
      </c>
      <c r="E160" s="323"/>
      <c r="F160" s="338" t="s">
        <v>188</v>
      </c>
      <c r="G160" s="324" t="s">
        <v>188</v>
      </c>
      <c r="N160" s="361"/>
      <c r="O160" s="361"/>
      <c r="P160" s="361"/>
      <c r="Q160" s="298"/>
      <c r="R160" s="298"/>
      <c r="S160" s="298"/>
      <c r="T160" s="300"/>
      <c r="U160" s="300"/>
      <c r="V160" s="300"/>
      <c r="W160" s="383"/>
      <c r="X160" s="383"/>
      <c r="Y160" s="383"/>
      <c r="Z160" s="639">
        <v>74.676100898342455</v>
      </c>
      <c r="AA160" s="639">
        <v>20.228679384974804</v>
      </c>
      <c r="AB160" s="639">
        <v>5.0952197166827347</v>
      </c>
      <c r="AC160" s="388">
        <v>25.323899101657538</v>
      </c>
      <c r="AH160" s="635">
        <v>4973.3818690952103</v>
      </c>
      <c r="AI160" s="148"/>
      <c r="AJ160" s="584"/>
      <c r="AK160" s="584"/>
    </row>
    <row r="161" spans="1:37" ht="18" customHeight="1" x14ac:dyDescent="0.3">
      <c r="A161" s="146" t="s">
        <v>181</v>
      </c>
      <c r="B161" s="295" t="s">
        <v>182</v>
      </c>
      <c r="C161" s="146" t="s">
        <v>273</v>
      </c>
      <c r="D161" s="146" t="s">
        <v>274</v>
      </c>
      <c r="E161" s="323"/>
      <c r="F161" s="338" t="s">
        <v>192</v>
      </c>
      <c r="G161" s="324"/>
      <c r="N161" s="361"/>
      <c r="O161" s="361"/>
      <c r="P161" s="361"/>
      <c r="Q161" s="298"/>
      <c r="R161" s="298"/>
      <c r="S161" s="298"/>
      <c r="T161" s="300"/>
      <c r="U161" s="300"/>
      <c r="V161" s="300"/>
      <c r="W161" s="383"/>
      <c r="X161" s="383"/>
      <c r="Y161" s="383"/>
      <c r="Z161" s="639">
        <v>95.774577833349127</v>
      </c>
      <c r="AA161" s="639">
        <v>3.8405347420425477</v>
      </c>
      <c r="AB161" s="639">
        <v>0.38488742460832343</v>
      </c>
      <c r="AC161" s="388">
        <v>4.2254221666508709</v>
      </c>
      <c r="AH161" s="635">
        <v>3727.9179293325201</v>
      </c>
      <c r="AI161" s="148"/>
      <c r="AJ161" s="584"/>
      <c r="AK161" s="584"/>
    </row>
    <row r="162" spans="1:37" ht="18" customHeight="1" x14ac:dyDescent="0.3">
      <c r="A162" s="146" t="s">
        <v>181</v>
      </c>
      <c r="B162" s="295" t="s">
        <v>182</v>
      </c>
      <c r="C162" s="146" t="s">
        <v>275</v>
      </c>
      <c r="D162" s="146" t="s">
        <v>276</v>
      </c>
      <c r="E162" s="323"/>
      <c r="F162" s="338" t="s">
        <v>188</v>
      </c>
      <c r="G162" s="324" t="s">
        <v>188</v>
      </c>
      <c r="N162" s="361"/>
      <c r="O162" s="361"/>
      <c r="P162" s="361"/>
      <c r="Q162" s="298"/>
      <c r="R162" s="298"/>
      <c r="S162" s="298"/>
      <c r="T162" s="300"/>
      <c r="U162" s="300"/>
      <c r="V162" s="300"/>
      <c r="W162" s="383"/>
      <c r="X162" s="383"/>
      <c r="Y162" s="383"/>
      <c r="Z162" s="639">
        <v>93.031681205362943</v>
      </c>
      <c r="AA162" s="639">
        <v>4.1519853367857085</v>
      </c>
      <c r="AB162" s="639">
        <v>2.8163334578513459</v>
      </c>
      <c r="AC162" s="388">
        <v>6.9683187946370548</v>
      </c>
      <c r="AH162" s="635">
        <v>1104193.54910382</v>
      </c>
      <c r="AI162" s="148"/>
      <c r="AJ162" s="584"/>
      <c r="AK162" s="584"/>
    </row>
    <row r="163" spans="1:37" ht="18" customHeight="1" x14ac:dyDescent="0.3">
      <c r="A163" s="146" t="s">
        <v>181</v>
      </c>
      <c r="B163" s="295" t="s">
        <v>182</v>
      </c>
      <c r="C163" s="146" t="s">
        <v>278</v>
      </c>
      <c r="D163" s="146" t="s">
        <v>279</v>
      </c>
      <c r="E163" s="323"/>
      <c r="F163" s="338" t="s">
        <v>188</v>
      </c>
      <c r="G163" s="324" t="s">
        <v>188</v>
      </c>
      <c r="N163" s="361"/>
      <c r="O163" s="361"/>
      <c r="P163" s="361"/>
      <c r="Q163" s="298"/>
      <c r="R163" s="298"/>
      <c r="S163" s="298"/>
      <c r="T163" s="300"/>
      <c r="U163" s="300"/>
      <c r="V163" s="300"/>
      <c r="W163" s="383"/>
      <c r="X163" s="383"/>
      <c r="Y163" s="383"/>
      <c r="Z163" s="639">
        <v>78.403439005560799</v>
      </c>
      <c r="AA163" s="639">
        <v>11.406571020153802</v>
      </c>
      <c r="AB163" s="639">
        <v>10.1899899742854</v>
      </c>
      <c r="AC163" s="388">
        <v>21.596560994439201</v>
      </c>
      <c r="AH163" s="635">
        <v>48872.884867184803</v>
      </c>
      <c r="AI163" s="148"/>
      <c r="AJ163" s="584"/>
      <c r="AK163" s="584"/>
    </row>
    <row r="164" spans="1:37" ht="18" customHeight="1" x14ac:dyDescent="0.3">
      <c r="A164" s="146" t="s">
        <v>181</v>
      </c>
      <c r="B164" s="146" t="s">
        <v>197</v>
      </c>
      <c r="C164" s="146" t="s">
        <v>280</v>
      </c>
      <c r="D164" s="146" t="s">
        <v>281</v>
      </c>
      <c r="E164" s="323"/>
      <c r="F164" s="338" t="s">
        <v>188</v>
      </c>
      <c r="G164" s="324" t="s">
        <v>188</v>
      </c>
      <c r="N164" s="361"/>
      <c r="O164" s="361"/>
      <c r="P164" s="361"/>
      <c r="Q164" s="298"/>
      <c r="R164" s="298"/>
      <c r="S164" s="298"/>
      <c r="T164" s="300"/>
      <c r="U164" s="300"/>
      <c r="V164" s="300"/>
      <c r="W164" s="383"/>
      <c r="X164" s="383"/>
      <c r="Y164" s="383"/>
      <c r="Z164" s="639">
        <v>52.565890382626996</v>
      </c>
      <c r="AA164" s="639">
        <v>33.235929624055352</v>
      </c>
      <c r="AB164" s="639">
        <v>14.198179993317643</v>
      </c>
      <c r="AC164" s="388">
        <v>47.434109617372997</v>
      </c>
      <c r="AH164" s="635">
        <v>32280.326104260701</v>
      </c>
      <c r="AI164" s="148"/>
      <c r="AJ164" s="584"/>
      <c r="AK164" s="584"/>
    </row>
    <row r="165" spans="1:37" ht="18" customHeight="1" x14ac:dyDescent="0.3">
      <c r="A165" s="146" t="s">
        <v>181</v>
      </c>
      <c r="B165" s="146" t="s">
        <v>197</v>
      </c>
      <c r="C165" s="146" t="s">
        <v>282</v>
      </c>
      <c r="D165" s="295" t="s">
        <v>283</v>
      </c>
      <c r="E165" s="323"/>
      <c r="F165" s="321" t="s">
        <v>188</v>
      </c>
      <c r="G165" s="322" t="s">
        <v>188</v>
      </c>
      <c r="H165" s="53"/>
      <c r="I165" s="53"/>
      <c r="J165" s="53"/>
      <c r="K165" s="356"/>
      <c r="L165" s="356"/>
      <c r="M165" s="356"/>
      <c r="N165" s="363"/>
      <c r="O165" s="363"/>
      <c r="P165" s="363"/>
      <c r="Q165" s="283"/>
      <c r="R165" s="283"/>
      <c r="S165" s="283"/>
      <c r="T165" s="284"/>
      <c r="U165" s="284"/>
      <c r="V165" s="284"/>
      <c r="W165" s="285"/>
      <c r="X165" s="285"/>
      <c r="Y165" s="285"/>
      <c r="Z165" s="639">
        <v>91.652139367630781</v>
      </c>
      <c r="AA165" s="639">
        <v>4.955909554587544</v>
      </c>
      <c r="AB165" s="639">
        <v>3.3919510777816728</v>
      </c>
      <c r="AC165" s="388">
        <v>8.3478606323692173</v>
      </c>
      <c r="AH165" s="635">
        <v>911739.77932518802</v>
      </c>
      <c r="AI165" s="148"/>
      <c r="AJ165" s="584"/>
      <c r="AK165" s="584"/>
    </row>
    <row r="166" spans="1:37" ht="18" customHeight="1" x14ac:dyDescent="0.3">
      <c r="A166" s="146" t="s">
        <v>181</v>
      </c>
      <c r="B166" s="146" t="s">
        <v>197</v>
      </c>
      <c r="C166" s="146" t="s">
        <v>282</v>
      </c>
      <c r="D166" s="295" t="s">
        <v>285</v>
      </c>
      <c r="E166" s="323"/>
      <c r="F166" s="321" t="s">
        <v>192</v>
      </c>
      <c r="G166" s="322"/>
      <c r="H166" s="53"/>
      <c r="I166" s="53"/>
      <c r="J166" s="53"/>
      <c r="K166" s="356"/>
      <c r="L166" s="356"/>
      <c r="M166" s="356"/>
      <c r="N166" s="363"/>
      <c r="O166" s="363"/>
      <c r="P166" s="363"/>
      <c r="Q166" s="283"/>
      <c r="R166" s="283"/>
      <c r="S166" s="283"/>
      <c r="T166" s="284"/>
      <c r="U166" s="284"/>
      <c r="V166" s="284"/>
      <c r="W166" s="285"/>
      <c r="X166" s="285"/>
      <c r="Y166" s="285"/>
      <c r="Z166" s="639">
        <v>92.894446416552455</v>
      </c>
      <c r="AA166" s="639">
        <v>4.3937331599797602</v>
      </c>
      <c r="AB166" s="639">
        <v>2.7118204234677896</v>
      </c>
      <c r="AC166" s="388">
        <v>7.1055535834475503</v>
      </c>
      <c r="AH166" s="635">
        <v>8167.4140541367196</v>
      </c>
      <c r="AI166" s="148"/>
      <c r="AJ166" s="584"/>
      <c r="AK166" s="584"/>
    </row>
    <row r="167" spans="1:37" ht="18" customHeight="1" x14ac:dyDescent="0.3">
      <c r="A167" s="146" t="s">
        <v>181</v>
      </c>
      <c r="B167" s="146" t="s">
        <v>197</v>
      </c>
      <c r="C167" s="146" t="s">
        <v>282</v>
      </c>
      <c r="D167" s="295" t="s">
        <v>287</v>
      </c>
      <c r="E167" s="323"/>
      <c r="F167" s="321" t="s">
        <v>192</v>
      </c>
      <c r="G167" s="322"/>
      <c r="H167" s="53"/>
      <c r="I167" s="53"/>
      <c r="J167" s="53"/>
      <c r="K167" s="356"/>
      <c r="L167" s="356"/>
      <c r="M167" s="356"/>
      <c r="N167" s="363"/>
      <c r="O167" s="363"/>
      <c r="P167" s="363"/>
      <c r="Q167" s="283"/>
      <c r="R167" s="283"/>
      <c r="S167" s="283"/>
      <c r="T167" s="284"/>
      <c r="U167" s="284"/>
      <c r="V167" s="284"/>
      <c r="W167" s="285"/>
      <c r="X167" s="285"/>
      <c r="Y167" s="285"/>
      <c r="Z167" s="639">
        <v>100</v>
      </c>
      <c r="AA167" s="639">
        <v>0</v>
      </c>
      <c r="AB167" s="639">
        <v>0</v>
      </c>
      <c r="AC167" s="388">
        <v>0</v>
      </c>
      <c r="AH167" s="635">
        <v>7203.59673633887</v>
      </c>
      <c r="AI167" s="148"/>
      <c r="AJ167" s="584"/>
      <c r="AK167" s="584"/>
    </row>
    <row r="168" spans="1:37" ht="18" customHeight="1" x14ac:dyDescent="0.3">
      <c r="A168" s="146" t="s">
        <v>181</v>
      </c>
      <c r="B168" s="295" t="s">
        <v>208</v>
      </c>
      <c r="C168" s="146" t="s">
        <v>288</v>
      </c>
      <c r="D168" s="295" t="s">
        <v>289</v>
      </c>
      <c r="E168" s="323" t="s">
        <v>187</v>
      </c>
      <c r="F168" s="321" t="s">
        <v>187</v>
      </c>
      <c r="G168" s="322" t="s">
        <v>187</v>
      </c>
      <c r="H168" s="53"/>
      <c r="I168" s="53"/>
      <c r="J168" s="53"/>
      <c r="K168" s="356"/>
      <c r="L168" s="356"/>
      <c r="M168" s="356"/>
      <c r="N168" s="363"/>
      <c r="O168" s="363"/>
      <c r="P168" s="363"/>
      <c r="Q168" s="283"/>
      <c r="R168" s="283"/>
      <c r="S168" s="283"/>
      <c r="T168" s="284"/>
      <c r="U168" s="284"/>
      <c r="V168" s="284"/>
      <c r="W168" s="285"/>
      <c r="X168" s="285"/>
      <c r="Y168" s="285"/>
      <c r="Z168" s="639">
        <v>76.382024258094816</v>
      </c>
      <c r="AA168" s="639">
        <v>14.797152743933481</v>
      </c>
      <c r="AB168" s="639">
        <v>8.8208229979716997</v>
      </c>
      <c r="AC168" s="388">
        <v>23.61797574190518</v>
      </c>
      <c r="AH168" s="635">
        <v>21914.025982740201</v>
      </c>
      <c r="AI168" s="148"/>
      <c r="AJ168" s="584"/>
      <c r="AK168" s="584"/>
    </row>
    <row r="169" spans="1:37" ht="18" customHeight="1" x14ac:dyDescent="0.3">
      <c r="A169" s="146" t="s">
        <v>181</v>
      </c>
      <c r="B169" s="295" t="s">
        <v>208</v>
      </c>
      <c r="C169" s="146" t="s">
        <v>290</v>
      </c>
      <c r="D169" s="146" t="s">
        <v>291</v>
      </c>
      <c r="E169" s="323"/>
      <c r="F169" s="338" t="s">
        <v>188</v>
      </c>
      <c r="G169" s="324" t="s">
        <v>188</v>
      </c>
      <c r="N169" s="361"/>
      <c r="O169" s="361"/>
      <c r="P169" s="361"/>
      <c r="Q169" s="298"/>
      <c r="R169" s="298"/>
      <c r="S169" s="298"/>
      <c r="T169" s="300"/>
      <c r="U169" s="300"/>
      <c r="V169" s="300"/>
      <c r="W169" s="383"/>
      <c r="X169" s="383"/>
      <c r="Y169" s="383"/>
      <c r="Z169" s="639">
        <v>50.28904020020628</v>
      </c>
      <c r="AA169" s="639">
        <v>34.70713258263028</v>
      </c>
      <c r="AB169" s="639">
        <v>15.00382721716344</v>
      </c>
      <c r="AC169" s="388">
        <v>49.71095979979372</v>
      </c>
      <c r="AH169" s="635">
        <v>26221.424589196798</v>
      </c>
      <c r="AI169" s="148"/>
      <c r="AJ169" s="584"/>
      <c r="AK169" s="584"/>
    </row>
    <row r="170" spans="1:37" ht="18" customHeight="1" x14ac:dyDescent="0.3">
      <c r="A170" s="146" t="s">
        <v>181</v>
      </c>
      <c r="B170" s="295" t="s">
        <v>208</v>
      </c>
      <c r="C170" s="146" t="s">
        <v>292</v>
      </c>
      <c r="D170" s="146" t="s">
        <v>293</v>
      </c>
      <c r="E170" s="323"/>
      <c r="F170" s="338" t="s">
        <v>201</v>
      </c>
      <c r="G170" s="324" t="s">
        <v>267</v>
      </c>
      <c r="N170" s="361"/>
      <c r="O170" s="361"/>
      <c r="P170" s="361"/>
      <c r="Q170" s="298"/>
      <c r="R170" s="298"/>
      <c r="S170" s="298"/>
      <c r="T170" s="300"/>
      <c r="U170" s="300"/>
      <c r="V170" s="300"/>
      <c r="W170" s="383"/>
      <c r="X170" s="383"/>
      <c r="Y170" s="383"/>
      <c r="Z170" s="639">
        <v>80.367593357215199</v>
      </c>
      <c r="AA170" s="639">
        <v>12.961017855603906</v>
      </c>
      <c r="AB170" s="639">
        <v>6.6713887871808968</v>
      </c>
      <c r="AC170" s="388">
        <v>19.632406642784801</v>
      </c>
      <c r="AH170" s="635">
        <v>68338.766672360391</v>
      </c>
      <c r="AI170" s="148"/>
      <c r="AJ170" s="584"/>
      <c r="AK170" s="584"/>
    </row>
    <row r="171" spans="1:37" ht="18" customHeight="1" x14ac:dyDescent="0.3">
      <c r="A171" s="146" t="s">
        <v>181</v>
      </c>
      <c r="B171" s="295" t="s">
        <v>208</v>
      </c>
      <c r="C171" s="146" t="s">
        <v>294</v>
      </c>
      <c r="D171" s="146" t="s">
        <v>295</v>
      </c>
      <c r="E171" s="323"/>
      <c r="F171" s="338" t="s">
        <v>188</v>
      </c>
      <c r="G171" s="324" t="s">
        <v>188</v>
      </c>
      <c r="N171" s="361"/>
      <c r="O171" s="361"/>
      <c r="P171" s="361"/>
      <c r="Q171" s="298"/>
      <c r="R171" s="298"/>
      <c r="S171" s="298"/>
      <c r="T171" s="300"/>
      <c r="U171" s="300"/>
      <c r="V171" s="300"/>
      <c r="W171" s="383"/>
      <c r="X171" s="383"/>
      <c r="Y171" s="383"/>
      <c r="Z171" s="639">
        <v>27.676665937109888</v>
      </c>
      <c r="AA171" s="639">
        <v>37.798327575312214</v>
      </c>
      <c r="AB171" s="639">
        <v>34.525006487577897</v>
      </c>
      <c r="AC171" s="388">
        <v>72.323334062890112</v>
      </c>
      <c r="AH171" s="635">
        <v>34502.495659935099</v>
      </c>
      <c r="AI171" s="148"/>
      <c r="AJ171" s="584"/>
      <c r="AK171" s="584"/>
    </row>
    <row r="172" spans="1:37" ht="18" customHeight="1" x14ac:dyDescent="0.3">
      <c r="A172" s="146" t="s">
        <v>181</v>
      </c>
      <c r="B172" s="295" t="s">
        <v>208</v>
      </c>
      <c r="C172" s="146" t="s">
        <v>296</v>
      </c>
      <c r="D172" s="146" t="s">
        <v>297</v>
      </c>
      <c r="E172" s="323"/>
      <c r="F172" s="338" t="s">
        <v>188</v>
      </c>
      <c r="G172" s="324" t="s">
        <v>188</v>
      </c>
      <c r="N172" s="361"/>
      <c r="O172" s="361"/>
      <c r="P172" s="361"/>
      <c r="Q172" s="298"/>
      <c r="R172" s="298"/>
      <c r="S172" s="298"/>
      <c r="T172" s="300"/>
      <c r="U172" s="300"/>
      <c r="V172" s="300"/>
      <c r="W172" s="383"/>
      <c r="X172" s="383"/>
      <c r="Y172" s="383"/>
      <c r="Z172" s="639">
        <v>68.782387311892805</v>
      </c>
      <c r="AA172" s="639">
        <v>19.135901231375776</v>
      </c>
      <c r="AB172" s="639">
        <v>12.081711456731416</v>
      </c>
      <c r="AC172" s="388">
        <v>31.217612688107192</v>
      </c>
      <c r="AH172" s="635">
        <v>151097.48325795002</v>
      </c>
      <c r="AI172" s="148"/>
      <c r="AJ172" s="584"/>
      <c r="AK172" s="584"/>
    </row>
    <row r="173" spans="1:37" ht="18" customHeight="1" x14ac:dyDescent="0.3">
      <c r="A173" s="146" t="s">
        <v>181</v>
      </c>
      <c r="B173" s="295" t="s">
        <v>208</v>
      </c>
      <c r="C173" s="146" t="s">
        <v>299</v>
      </c>
      <c r="D173" s="146" t="s">
        <v>300</v>
      </c>
      <c r="E173" s="323"/>
      <c r="F173" s="339" t="s">
        <v>192</v>
      </c>
      <c r="G173" s="340"/>
      <c r="N173" s="361"/>
      <c r="O173" s="361"/>
      <c r="P173" s="361"/>
      <c r="Q173" s="298"/>
      <c r="R173" s="298"/>
      <c r="S173" s="298"/>
      <c r="T173" s="300"/>
      <c r="U173" s="300"/>
      <c r="V173" s="300"/>
      <c r="W173" s="383"/>
      <c r="X173" s="383"/>
      <c r="Y173" s="383"/>
      <c r="Z173" s="639">
        <v>63.471213197404047</v>
      </c>
      <c r="AA173" s="639">
        <v>24.349567165995733</v>
      </c>
      <c r="AB173" s="639">
        <v>12.179219636600214</v>
      </c>
      <c r="AC173" s="388">
        <v>36.528786802595945</v>
      </c>
      <c r="AH173" s="635">
        <v>61010.744615871103</v>
      </c>
      <c r="AI173" s="148"/>
      <c r="AJ173" s="584"/>
      <c r="AK173" s="584"/>
    </row>
    <row r="174" spans="1:37" ht="18" customHeight="1" x14ac:dyDescent="0.3">
      <c r="A174" s="146" t="s">
        <v>181</v>
      </c>
      <c r="B174" s="295" t="s">
        <v>208</v>
      </c>
      <c r="C174" s="146" t="s">
        <v>301</v>
      </c>
      <c r="D174" s="146" t="s">
        <v>302</v>
      </c>
      <c r="E174" s="323"/>
      <c r="F174" s="339" t="s">
        <v>192</v>
      </c>
      <c r="G174" s="340"/>
      <c r="N174" s="361"/>
      <c r="O174" s="361"/>
      <c r="P174" s="361"/>
      <c r="Q174" s="298"/>
      <c r="R174" s="298"/>
      <c r="S174" s="298"/>
      <c r="T174" s="300"/>
      <c r="U174" s="300"/>
      <c r="V174" s="300"/>
      <c r="W174" s="383"/>
      <c r="X174" s="383"/>
      <c r="Y174" s="383"/>
      <c r="Z174" s="639">
        <v>94.239527304728185</v>
      </c>
      <c r="AA174" s="639">
        <v>4.0829753201389627</v>
      </c>
      <c r="AB174" s="639">
        <v>1.677497375132863</v>
      </c>
      <c r="AC174" s="388">
        <v>5.7604726952718259</v>
      </c>
      <c r="AH174" s="635">
        <v>26439.238467004398</v>
      </c>
      <c r="AI174" s="148"/>
      <c r="AJ174" s="584"/>
      <c r="AK174" s="584"/>
    </row>
    <row r="175" spans="1:37" ht="18" customHeight="1" x14ac:dyDescent="0.3">
      <c r="A175" s="146" t="s">
        <v>181</v>
      </c>
      <c r="B175" s="295" t="s">
        <v>208</v>
      </c>
      <c r="C175" s="146" t="s">
        <v>303</v>
      </c>
      <c r="D175" s="146" t="s">
        <v>304</v>
      </c>
      <c r="E175" s="323"/>
      <c r="F175" s="339" t="s">
        <v>192</v>
      </c>
      <c r="G175" s="340"/>
      <c r="N175" s="361"/>
      <c r="O175" s="361"/>
      <c r="P175" s="361"/>
      <c r="Q175" s="298"/>
      <c r="R175" s="298"/>
      <c r="S175" s="298"/>
      <c r="T175" s="300"/>
      <c r="U175" s="300"/>
      <c r="V175" s="300"/>
      <c r="W175" s="383"/>
      <c r="X175" s="383"/>
      <c r="Y175" s="383"/>
      <c r="Z175" s="639">
        <v>94.239527304728185</v>
      </c>
      <c r="AA175" s="639">
        <v>4.0829753201389627</v>
      </c>
      <c r="AB175" s="639">
        <v>1.677497375132863</v>
      </c>
      <c r="AC175" s="388">
        <v>5.7604726952718259</v>
      </c>
      <c r="AH175" s="635">
        <v>63709.312226356902</v>
      </c>
      <c r="AI175" s="148"/>
      <c r="AJ175" s="584"/>
      <c r="AK175" s="584"/>
    </row>
    <row r="176" spans="1:37" ht="18" customHeight="1" x14ac:dyDescent="0.3">
      <c r="A176" s="146" t="s">
        <v>181</v>
      </c>
      <c r="B176" s="295" t="s">
        <v>208</v>
      </c>
      <c r="C176" s="146" t="s">
        <v>305</v>
      </c>
      <c r="D176" s="146" t="s">
        <v>306</v>
      </c>
      <c r="E176" s="323"/>
      <c r="F176" s="339" t="s">
        <v>188</v>
      </c>
      <c r="G176" s="340" t="s">
        <v>188</v>
      </c>
      <c r="N176" s="361"/>
      <c r="O176" s="361"/>
      <c r="P176" s="361"/>
      <c r="Q176" s="298"/>
      <c r="R176" s="298"/>
      <c r="S176" s="298"/>
      <c r="T176" s="300"/>
      <c r="U176" s="300"/>
      <c r="V176" s="300"/>
      <c r="W176" s="383"/>
      <c r="X176" s="383"/>
      <c r="Y176" s="383"/>
      <c r="Z176" s="639">
        <v>90.530626021110606</v>
      </c>
      <c r="AA176" s="639">
        <v>4.8940911539486303</v>
      </c>
      <c r="AB176" s="639">
        <v>4.5752828249407509</v>
      </c>
      <c r="AC176" s="388">
        <v>9.4693739788893811</v>
      </c>
      <c r="AH176" s="635">
        <v>369204.09285471198</v>
      </c>
      <c r="AI176" s="148"/>
      <c r="AJ176" s="584"/>
      <c r="AK176" s="584"/>
    </row>
    <row r="177" spans="1:37" ht="18" customHeight="1" x14ac:dyDescent="0.3">
      <c r="A177" s="146" t="s">
        <v>181</v>
      </c>
      <c r="B177" s="295" t="s">
        <v>208</v>
      </c>
      <c r="C177" s="146" t="s">
        <v>308</v>
      </c>
      <c r="D177" s="146" t="s">
        <v>309</v>
      </c>
      <c r="E177" s="323"/>
      <c r="F177" s="339" t="s">
        <v>192</v>
      </c>
      <c r="G177" s="340" t="s">
        <v>188</v>
      </c>
      <c r="N177" s="361"/>
      <c r="O177" s="361"/>
      <c r="P177" s="361"/>
      <c r="Q177" s="298"/>
      <c r="R177" s="298"/>
      <c r="S177" s="298"/>
      <c r="T177" s="300"/>
      <c r="U177" s="300"/>
      <c r="V177" s="300"/>
      <c r="W177" s="383"/>
      <c r="X177" s="383"/>
      <c r="Y177" s="383"/>
      <c r="Z177" s="639">
        <v>50.109846900999997</v>
      </c>
      <c r="AA177" s="639">
        <v>19.436408259</v>
      </c>
      <c r="AB177" s="639">
        <v>30.453744839999999</v>
      </c>
      <c r="AC177" s="388">
        <v>49.890153099000003</v>
      </c>
      <c r="AH177" s="635">
        <v>4441.3292707574501</v>
      </c>
      <c r="AI177" s="148"/>
      <c r="AJ177" s="584"/>
      <c r="AK177" s="584"/>
    </row>
    <row r="178" spans="1:37" ht="18" customHeight="1" x14ac:dyDescent="0.3">
      <c r="A178" s="146" t="s">
        <v>181</v>
      </c>
      <c r="B178" s="295" t="s">
        <v>208</v>
      </c>
      <c r="C178" s="146" t="s">
        <v>310</v>
      </c>
      <c r="D178" s="146" t="s">
        <v>311</v>
      </c>
      <c r="E178" s="323"/>
      <c r="F178" s="338" t="s">
        <v>188</v>
      </c>
      <c r="G178" s="324" t="s">
        <v>188</v>
      </c>
      <c r="N178" s="361"/>
      <c r="O178" s="361"/>
      <c r="P178" s="361"/>
      <c r="Q178" s="298"/>
      <c r="R178" s="298"/>
      <c r="S178" s="298"/>
      <c r="T178" s="300"/>
      <c r="U178" s="300"/>
      <c r="V178" s="300"/>
      <c r="W178" s="383"/>
      <c r="X178" s="383"/>
      <c r="Y178" s="383"/>
      <c r="Z178" s="639">
        <v>68.383480350845929</v>
      </c>
      <c r="AA178" s="639">
        <v>17.886649748576382</v>
      </c>
      <c r="AB178" s="639">
        <v>13.729869900577684</v>
      </c>
      <c r="AC178" s="388">
        <v>31.616519649154064</v>
      </c>
      <c r="AH178" s="635">
        <v>25627.447117471198</v>
      </c>
      <c r="AI178" s="148"/>
      <c r="AJ178" s="584"/>
      <c r="AK178" s="584"/>
    </row>
    <row r="179" spans="1:37" ht="18" customHeight="1" x14ac:dyDescent="0.3">
      <c r="A179" s="146" t="s">
        <v>181</v>
      </c>
      <c r="B179" s="295" t="s">
        <v>208</v>
      </c>
      <c r="C179" s="146" t="s">
        <v>312</v>
      </c>
      <c r="D179" s="146" t="s">
        <v>313</v>
      </c>
      <c r="E179" s="323"/>
      <c r="F179" s="338" t="s">
        <v>188</v>
      </c>
      <c r="G179" s="324" t="s">
        <v>188</v>
      </c>
      <c r="N179" s="361"/>
      <c r="O179" s="361"/>
      <c r="P179" s="361"/>
      <c r="Q179" s="298"/>
      <c r="R179" s="298"/>
      <c r="S179" s="298"/>
      <c r="T179" s="300"/>
      <c r="U179" s="300"/>
      <c r="V179" s="300"/>
      <c r="W179" s="383"/>
      <c r="X179" s="383"/>
      <c r="Y179" s="383"/>
      <c r="Z179" s="639">
        <v>78.141669038116859</v>
      </c>
      <c r="AA179" s="639">
        <v>11.579940951809728</v>
      </c>
      <c r="AB179" s="639">
        <v>10.27839001007341</v>
      </c>
      <c r="AC179" s="388">
        <v>21.858330961883141</v>
      </c>
      <c r="AH179" s="635">
        <v>173298.45528415899</v>
      </c>
      <c r="AI179" s="148"/>
      <c r="AJ179" s="584"/>
      <c r="AK179" s="584"/>
    </row>
    <row r="180" spans="1:37" ht="18" customHeight="1" x14ac:dyDescent="0.3">
      <c r="A180" s="146" t="s">
        <v>181</v>
      </c>
      <c r="B180" s="295" t="s">
        <v>208</v>
      </c>
      <c r="C180" s="146" t="s">
        <v>316</v>
      </c>
      <c r="D180" s="146" t="s">
        <v>317</v>
      </c>
      <c r="E180" s="323"/>
      <c r="F180" s="338" t="s">
        <v>188</v>
      </c>
      <c r="G180" s="324" t="s">
        <v>188</v>
      </c>
      <c r="N180" s="361"/>
      <c r="O180" s="361"/>
      <c r="P180" s="361"/>
      <c r="Q180" s="298"/>
      <c r="R180" s="298"/>
      <c r="S180" s="298"/>
      <c r="T180" s="300"/>
      <c r="U180" s="300"/>
      <c r="V180" s="300"/>
      <c r="W180" s="383"/>
      <c r="X180" s="383"/>
      <c r="Y180" s="383"/>
      <c r="Z180" s="639">
        <v>65.583792100630859</v>
      </c>
      <c r="AA180" s="639">
        <v>17.106304066691425</v>
      </c>
      <c r="AB180" s="639">
        <v>17.309903832677715</v>
      </c>
      <c r="AC180" s="388">
        <v>34.416207899369141</v>
      </c>
      <c r="AH180" s="635">
        <v>88464.504620180203</v>
      </c>
      <c r="AI180" s="148"/>
      <c r="AJ180" s="584"/>
      <c r="AK180" s="584"/>
    </row>
    <row r="181" spans="1:37" ht="18" customHeight="1" x14ac:dyDescent="0.3">
      <c r="A181" s="146" t="s">
        <v>181</v>
      </c>
      <c r="B181" s="295" t="s">
        <v>208</v>
      </c>
      <c r="C181" s="146" t="s">
        <v>318</v>
      </c>
      <c r="D181" s="295" t="s">
        <v>319</v>
      </c>
      <c r="E181" s="323" t="s">
        <v>187</v>
      </c>
      <c r="F181" s="321" t="s">
        <v>187</v>
      </c>
      <c r="G181" s="322" t="s">
        <v>187</v>
      </c>
      <c r="H181" s="53"/>
      <c r="I181" s="53"/>
      <c r="J181" s="53"/>
      <c r="K181" s="356"/>
      <c r="L181" s="356"/>
      <c r="M181" s="356"/>
      <c r="N181" s="363"/>
      <c r="O181" s="363"/>
      <c r="P181" s="363"/>
      <c r="Q181" s="283"/>
      <c r="R181" s="283"/>
      <c r="S181" s="283"/>
      <c r="T181" s="284"/>
      <c r="U181" s="284"/>
      <c r="V181" s="284"/>
      <c r="W181" s="285"/>
      <c r="X181" s="285"/>
      <c r="Y181" s="285"/>
      <c r="Z181" s="639">
        <v>87.073120530421335</v>
      </c>
      <c r="AA181" s="639">
        <v>9.6298363250821541</v>
      </c>
      <c r="AB181" s="639">
        <v>3.2970431444965196</v>
      </c>
      <c r="AC181" s="388">
        <v>12.926879469578674</v>
      </c>
      <c r="AH181" s="635">
        <v>4395.8409915112306</v>
      </c>
      <c r="AI181" s="148"/>
      <c r="AJ181" s="584"/>
      <c r="AK181" s="584"/>
    </row>
    <row r="182" spans="1:37" ht="18" customHeight="1" x14ac:dyDescent="0.3">
      <c r="A182" s="146" t="s">
        <v>181</v>
      </c>
      <c r="B182" s="295" t="s">
        <v>208</v>
      </c>
      <c r="C182" s="146" t="s">
        <v>321</v>
      </c>
      <c r="D182" s="146" t="s">
        <v>322</v>
      </c>
      <c r="E182" s="323"/>
      <c r="F182" s="338" t="s">
        <v>188</v>
      </c>
      <c r="G182" s="324" t="s">
        <v>188</v>
      </c>
      <c r="N182" s="361"/>
      <c r="O182" s="361"/>
      <c r="P182" s="361"/>
      <c r="Q182" s="298"/>
      <c r="R182" s="298"/>
      <c r="S182" s="298"/>
      <c r="T182" s="300"/>
      <c r="U182" s="300"/>
      <c r="V182" s="300"/>
      <c r="W182" s="383"/>
      <c r="X182" s="383"/>
      <c r="Y182" s="383"/>
      <c r="Z182" s="639">
        <v>58.345367969297541</v>
      </c>
      <c r="AA182" s="639">
        <v>27.183066591666233</v>
      </c>
      <c r="AB182" s="639">
        <v>14.471565439036224</v>
      </c>
      <c r="AC182" s="388">
        <v>41.654632030702459</v>
      </c>
      <c r="AH182" s="635">
        <v>48544.884871849601</v>
      </c>
      <c r="AI182" s="148"/>
      <c r="AJ182" s="584"/>
      <c r="AK182" s="584"/>
    </row>
    <row r="183" spans="1:37" ht="18" customHeight="1" x14ac:dyDescent="0.3">
      <c r="A183" s="146" t="s">
        <v>181</v>
      </c>
      <c r="B183" s="295" t="s">
        <v>208</v>
      </c>
      <c r="C183" s="146" t="s">
        <v>323</v>
      </c>
      <c r="D183" s="295" t="s">
        <v>324</v>
      </c>
      <c r="E183" s="323" t="s">
        <v>187</v>
      </c>
      <c r="F183" s="321" t="s">
        <v>227</v>
      </c>
      <c r="G183" s="322" t="s">
        <v>266</v>
      </c>
      <c r="H183" s="53"/>
      <c r="I183" s="53"/>
      <c r="J183" s="53"/>
      <c r="K183" s="356"/>
      <c r="L183" s="356"/>
      <c r="M183" s="356"/>
      <c r="N183" s="363"/>
      <c r="O183" s="363"/>
      <c r="P183" s="363"/>
      <c r="Q183" s="283"/>
      <c r="R183" s="283"/>
      <c r="S183" s="283"/>
      <c r="T183" s="284"/>
      <c r="U183" s="284"/>
      <c r="V183" s="284"/>
      <c r="W183" s="285"/>
      <c r="X183" s="285"/>
      <c r="Y183" s="285"/>
      <c r="Z183" s="639">
        <v>41.751669183859846</v>
      </c>
      <c r="AA183" s="639">
        <v>27.961637836319593</v>
      </c>
      <c r="AB183" s="639">
        <v>30.286692979820558</v>
      </c>
      <c r="AC183" s="388">
        <v>58.248330816140154</v>
      </c>
      <c r="AH183" s="635">
        <v>932.18539304296894</v>
      </c>
      <c r="AI183" s="148"/>
      <c r="AJ183" s="584"/>
      <c r="AK183" s="584"/>
    </row>
    <row r="184" spans="1:37" ht="18" customHeight="1" x14ac:dyDescent="0.3">
      <c r="A184" s="146" t="s">
        <v>181</v>
      </c>
      <c r="B184" s="295" t="s">
        <v>208</v>
      </c>
      <c r="C184" s="146" t="s">
        <v>325</v>
      </c>
      <c r="D184" s="146" t="s">
        <v>326</v>
      </c>
      <c r="E184" s="323"/>
      <c r="F184" s="338" t="s">
        <v>188</v>
      </c>
      <c r="G184" s="324" t="s">
        <v>188</v>
      </c>
      <c r="N184" s="361"/>
      <c r="O184" s="361"/>
      <c r="P184" s="361"/>
      <c r="Q184" s="298"/>
      <c r="R184" s="298"/>
      <c r="S184" s="298"/>
      <c r="T184" s="300"/>
      <c r="U184" s="300"/>
      <c r="V184" s="300"/>
      <c r="W184" s="383"/>
      <c r="X184" s="383"/>
      <c r="Y184" s="383"/>
      <c r="Z184" s="639">
        <v>64.157195919638042</v>
      </c>
      <c r="AA184" s="639">
        <v>24.143862504337871</v>
      </c>
      <c r="AB184" s="639">
        <v>11.698941576024083</v>
      </c>
      <c r="AC184" s="388">
        <v>35.842804080361958</v>
      </c>
      <c r="AH184" s="635">
        <v>57381.077204830595</v>
      </c>
      <c r="AI184" s="148"/>
      <c r="AJ184" s="584"/>
      <c r="AK184" s="584"/>
    </row>
    <row r="185" spans="1:37" ht="18" customHeight="1" x14ac:dyDescent="0.3">
      <c r="A185" s="146" t="s">
        <v>181</v>
      </c>
      <c r="B185" s="295" t="s">
        <v>208</v>
      </c>
      <c r="C185" s="146" t="s">
        <v>327</v>
      </c>
      <c r="D185" s="295" t="s">
        <v>328</v>
      </c>
      <c r="E185" s="323"/>
      <c r="F185" s="321" t="s">
        <v>188</v>
      </c>
      <c r="G185" s="322" t="s">
        <v>188</v>
      </c>
      <c r="H185" s="53"/>
      <c r="I185" s="53"/>
      <c r="J185" s="53"/>
      <c r="K185" s="356"/>
      <c r="L185" s="356"/>
      <c r="M185" s="356"/>
      <c r="N185" s="363"/>
      <c r="O185" s="363"/>
      <c r="P185" s="363"/>
      <c r="Q185" s="283"/>
      <c r="R185" s="283"/>
      <c r="S185" s="283"/>
      <c r="T185" s="284"/>
      <c r="U185" s="284"/>
      <c r="V185" s="284"/>
      <c r="W185" s="285"/>
      <c r="X185" s="285"/>
      <c r="Y185" s="285"/>
      <c r="Z185" s="639">
        <v>72.436667037063287</v>
      </c>
      <c r="AA185" s="639">
        <v>16.199268399902284</v>
      </c>
      <c r="AB185" s="639">
        <v>11.364064563034429</v>
      </c>
      <c r="AC185" s="388">
        <v>27.563332962936713</v>
      </c>
      <c r="AH185" s="635">
        <v>235887.62215081102</v>
      </c>
      <c r="AI185" s="148"/>
      <c r="AJ185" s="584"/>
      <c r="AK185" s="584"/>
    </row>
    <row r="186" spans="1:37" ht="18" customHeight="1" x14ac:dyDescent="0.3">
      <c r="A186" s="146" t="s">
        <v>181</v>
      </c>
      <c r="B186" s="295" t="s">
        <v>208</v>
      </c>
      <c r="C186" s="146" t="s">
        <v>330</v>
      </c>
      <c r="D186" s="295" t="s">
        <v>331</v>
      </c>
      <c r="E186" s="323"/>
      <c r="F186" s="321" t="s">
        <v>192</v>
      </c>
      <c r="G186" s="322"/>
      <c r="H186" s="53"/>
      <c r="I186" s="53"/>
      <c r="J186" s="53"/>
      <c r="K186" s="356"/>
      <c r="L186" s="356"/>
      <c r="M186" s="356"/>
      <c r="N186" s="363"/>
      <c r="O186" s="363"/>
      <c r="P186" s="363"/>
      <c r="Q186" s="283"/>
      <c r="R186" s="283"/>
      <c r="S186" s="283"/>
      <c r="T186" s="284"/>
      <c r="U186" s="284"/>
      <c r="V186" s="284"/>
      <c r="W186" s="285"/>
      <c r="X186" s="285"/>
      <c r="Y186" s="285"/>
      <c r="Z186" s="639">
        <v>73.556096378783991</v>
      </c>
      <c r="AA186" s="639">
        <v>17.964979473385348</v>
      </c>
      <c r="AB186" s="639">
        <v>8.4789241478306749</v>
      </c>
      <c r="AC186" s="388">
        <v>26.443903621216023</v>
      </c>
      <c r="AH186" s="635">
        <v>93927.471842500003</v>
      </c>
      <c r="AI186" s="148"/>
      <c r="AJ186" s="584"/>
      <c r="AK186" s="584"/>
    </row>
    <row r="187" spans="1:37" ht="18" customHeight="1" x14ac:dyDescent="0.3">
      <c r="A187" s="146" t="s">
        <v>181</v>
      </c>
      <c r="B187" s="295" t="s">
        <v>208</v>
      </c>
      <c r="C187" s="146" t="s">
        <v>332</v>
      </c>
      <c r="D187" s="295" t="s">
        <v>333</v>
      </c>
      <c r="E187" s="323"/>
      <c r="F187" s="321" t="s">
        <v>192</v>
      </c>
      <c r="G187" s="322"/>
      <c r="H187" s="53"/>
      <c r="I187" s="53"/>
      <c r="J187" s="53"/>
      <c r="K187" s="356"/>
      <c r="L187" s="356"/>
      <c r="M187" s="356"/>
      <c r="N187" s="363"/>
      <c r="O187" s="363"/>
      <c r="P187" s="363"/>
      <c r="Q187" s="283"/>
      <c r="R187" s="283"/>
      <c r="S187" s="283"/>
      <c r="T187" s="284"/>
      <c r="U187" s="284"/>
      <c r="V187" s="284"/>
      <c r="W187" s="285"/>
      <c r="X187" s="285"/>
      <c r="Y187" s="285"/>
      <c r="Z187" s="639">
        <v>65.585515982044967</v>
      </c>
      <c r="AA187" s="639">
        <v>16.85667351280188</v>
      </c>
      <c r="AB187" s="639">
        <v>17.557810505153164</v>
      </c>
      <c r="AC187" s="388">
        <v>34.414484017955047</v>
      </c>
      <c r="AH187" s="635">
        <v>64456.952686916498</v>
      </c>
      <c r="AI187" s="148"/>
      <c r="AJ187" s="584"/>
      <c r="AK187" s="584"/>
    </row>
    <row r="188" spans="1:37" ht="18" customHeight="1" x14ac:dyDescent="0.3">
      <c r="A188" s="146" t="s">
        <v>181</v>
      </c>
      <c r="B188" s="295" t="s">
        <v>208</v>
      </c>
      <c r="C188" s="146" t="s">
        <v>327</v>
      </c>
      <c r="D188" s="295" t="s">
        <v>334</v>
      </c>
      <c r="E188" s="323" t="s">
        <v>187</v>
      </c>
      <c r="F188" s="321" t="s">
        <v>192</v>
      </c>
      <c r="G188" s="322" t="s">
        <v>336</v>
      </c>
      <c r="H188" s="53"/>
      <c r="I188" s="53"/>
      <c r="J188" s="53"/>
      <c r="K188" s="356"/>
      <c r="L188" s="356"/>
      <c r="M188" s="356"/>
      <c r="N188" s="363"/>
      <c r="O188" s="363"/>
      <c r="P188" s="363"/>
      <c r="Q188" s="283"/>
      <c r="R188" s="283"/>
      <c r="S188" s="283"/>
      <c r="T188" s="284"/>
      <c r="U188" s="284"/>
      <c r="V188" s="284"/>
      <c r="W188" s="285"/>
      <c r="X188" s="285"/>
      <c r="Y188" s="285"/>
      <c r="Z188" s="639">
        <v>62.775295506884262</v>
      </c>
      <c r="AA188" s="639">
        <v>21.079633688511137</v>
      </c>
      <c r="AB188" s="639">
        <v>16.145070804604597</v>
      </c>
      <c r="AC188" s="388">
        <v>37.224704493115738</v>
      </c>
      <c r="AH188" s="635">
        <v>457.02683760937498</v>
      </c>
      <c r="AI188" s="148"/>
      <c r="AJ188" s="584"/>
      <c r="AK188" s="584"/>
    </row>
    <row r="189" spans="1:37" ht="18" customHeight="1" x14ac:dyDescent="0.3">
      <c r="A189" s="146" t="s">
        <v>181</v>
      </c>
      <c r="B189" s="295" t="s">
        <v>182</v>
      </c>
      <c r="C189" s="146" t="s">
        <v>338</v>
      </c>
      <c r="D189" s="146" t="s">
        <v>339</v>
      </c>
      <c r="E189" s="323"/>
      <c r="F189" s="338" t="s">
        <v>188</v>
      </c>
      <c r="G189" s="324" t="s">
        <v>188</v>
      </c>
      <c r="N189" s="361"/>
      <c r="O189" s="361"/>
      <c r="P189" s="361"/>
      <c r="Q189" s="298"/>
      <c r="R189" s="298"/>
      <c r="S189" s="298"/>
      <c r="T189" s="300"/>
      <c r="U189" s="300"/>
      <c r="V189" s="300"/>
      <c r="W189" s="383"/>
      <c r="X189" s="383"/>
      <c r="Y189" s="383"/>
      <c r="Z189" s="639">
        <v>63.763269951614092</v>
      </c>
      <c r="AA189" s="639">
        <v>18.623752330670353</v>
      </c>
      <c r="AB189" s="639">
        <v>17.612977717715548</v>
      </c>
      <c r="AC189" s="388">
        <v>36.236730048385901</v>
      </c>
      <c r="AH189" s="635">
        <v>47982.877673294897</v>
      </c>
      <c r="AI189" s="148"/>
      <c r="AJ189" s="584"/>
      <c r="AK189" s="584"/>
    </row>
    <row r="190" spans="1:37" ht="18" customHeight="1" x14ac:dyDescent="0.3">
      <c r="A190" s="146" t="s">
        <v>181</v>
      </c>
      <c r="B190" s="295" t="s">
        <v>182</v>
      </c>
      <c r="C190" s="146" t="s">
        <v>340</v>
      </c>
      <c r="D190" s="146" t="s">
        <v>341</v>
      </c>
      <c r="E190" s="323"/>
      <c r="F190" s="338" t="s">
        <v>188</v>
      </c>
      <c r="G190" s="324" t="s">
        <v>188</v>
      </c>
      <c r="N190" s="361"/>
      <c r="O190" s="361"/>
      <c r="P190" s="361"/>
      <c r="Q190" s="298"/>
      <c r="R190" s="298"/>
      <c r="S190" s="298"/>
      <c r="T190" s="300"/>
      <c r="U190" s="300"/>
      <c r="V190" s="300"/>
      <c r="W190" s="383"/>
      <c r="X190" s="383"/>
      <c r="Y190" s="383"/>
      <c r="Z190" s="639">
        <v>62.380675226500252</v>
      </c>
      <c r="AA190" s="639">
        <v>25.382458420660292</v>
      </c>
      <c r="AB190" s="639">
        <v>12.236866352839447</v>
      </c>
      <c r="AC190" s="388">
        <v>37.619324773499741</v>
      </c>
      <c r="AH190" s="635">
        <v>63920.8835554131</v>
      </c>
      <c r="AI190" s="148"/>
      <c r="AJ190" s="584"/>
      <c r="AK190" s="584"/>
    </row>
    <row r="191" spans="1:37" ht="18" customHeight="1" x14ac:dyDescent="0.3">
      <c r="A191" s="146" t="s">
        <v>181</v>
      </c>
      <c r="B191" s="295" t="s">
        <v>182</v>
      </c>
      <c r="C191" s="146" t="s">
        <v>342</v>
      </c>
      <c r="D191" s="146" t="s">
        <v>343</v>
      </c>
      <c r="E191" s="323"/>
      <c r="F191" s="338" t="s">
        <v>188</v>
      </c>
      <c r="G191" s="324" t="s">
        <v>188</v>
      </c>
      <c r="N191" s="361"/>
      <c r="O191" s="361"/>
      <c r="P191" s="361"/>
      <c r="Q191" s="298"/>
      <c r="R191" s="298"/>
      <c r="S191" s="298"/>
      <c r="T191" s="300"/>
      <c r="U191" s="300"/>
      <c r="V191" s="300"/>
      <c r="W191" s="383"/>
      <c r="X191" s="383"/>
      <c r="Y191" s="383"/>
      <c r="Z191" s="639">
        <v>75.825766615199271</v>
      </c>
      <c r="AA191" s="639">
        <v>16.295613397928619</v>
      </c>
      <c r="AB191" s="639">
        <v>7.878619986872109</v>
      </c>
      <c r="AC191" s="388">
        <v>24.174233384800729</v>
      </c>
      <c r="AH191" s="635">
        <v>134509.83562226701</v>
      </c>
      <c r="AI191" s="148"/>
      <c r="AJ191" s="584"/>
      <c r="AK191" s="584"/>
    </row>
    <row r="192" spans="1:37" ht="18" customHeight="1" x14ac:dyDescent="0.3">
      <c r="A192" s="146" t="s">
        <v>181</v>
      </c>
      <c r="B192" s="295" t="s">
        <v>182</v>
      </c>
      <c r="C192" s="146" t="s">
        <v>344</v>
      </c>
      <c r="D192" s="146" t="s">
        <v>345</v>
      </c>
      <c r="E192" s="323" t="s">
        <v>885</v>
      </c>
      <c r="F192" s="338" t="s">
        <v>346</v>
      </c>
      <c r="G192" s="324" t="s">
        <v>201</v>
      </c>
      <c r="N192" s="361"/>
      <c r="O192" s="361"/>
      <c r="P192" s="361"/>
      <c r="Q192" s="298"/>
      <c r="R192" s="298"/>
      <c r="S192" s="298"/>
      <c r="T192" s="300"/>
      <c r="U192" s="300"/>
      <c r="V192" s="300"/>
      <c r="W192" s="383"/>
      <c r="X192" s="383"/>
      <c r="Y192" s="383"/>
      <c r="Z192" s="639">
        <v>99.802461335000004</v>
      </c>
      <c r="AA192" s="639">
        <v>0.197538665</v>
      </c>
      <c r="AB192" s="639">
        <v>0</v>
      </c>
      <c r="AC192" s="388">
        <v>0.197538665</v>
      </c>
      <c r="AH192" s="635">
        <v>126.55750199316401</v>
      </c>
      <c r="AI192" s="148"/>
      <c r="AJ192" s="584"/>
      <c r="AK192" s="584"/>
    </row>
    <row r="193" spans="1:37" ht="18" customHeight="1" x14ac:dyDescent="0.3">
      <c r="A193" s="146" t="s">
        <v>181</v>
      </c>
      <c r="B193" s="295" t="s">
        <v>182</v>
      </c>
      <c r="C193" s="146" t="s">
        <v>347</v>
      </c>
      <c r="D193" s="146" t="s">
        <v>348</v>
      </c>
      <c r="E193" s="323"/>
      <c r="F193" s="338" t="s">
        <v>266</v>
      </c>
      <c r="G193" s="324" t="s">
        <v>188</v>
      </c>
      <c r="N193" s="361"/>
      <c r="O193" s="361"/>
      <c r="P193" s="361"/>
      <c r="Q193" s="298"/>
      <c r="R193" s="298"/>
      <c r="S193" s="298"/>
      <c r="T193" s="300"/>
      <c r="U193" s="300"/>
      <c r="V193" s="300"/>
      <c r="W193" s="383"/>
      <c r="X193" s="383"/>
      <c r="Y193" s="383"/>
      <c r="Z193" s="639">
        <v>49.275881750514465</v>
      </c>
      <c r="AA193" s="639">
        <v>26.72417730015685</v>
      </c>
      <c r="AB193" s="639">
        <v>23.999940949328682</v>
      </c>
      <c r="AC193" s="388">
        <v>50.724118249485528</v>
      </c>
      <c r="AH193" s="635">
        <v>9013.0670991123006</v>
      </c>
      <c r="AI193" s="148"/>
      <c r="AJ193" s="584"/>
      <c r="AK193" s="584"/>
    </row>
    <row r="194" spans="1:37" ht="18" customHeight="1" x14ac:dyDescent="0.3">
      <c r="A194" s="41" t="s">
        <v>547</v>
      </c>
      <c r="B194" s="86" t="s">
        <v>683</v>
      </c>
      <c r="C194" s="85" t="s">
        <v>684</v>
      </c>
      <c r="D194" s="85" t="s">
        <v>685</v>
      </c>
      <c r="E194" s="320"/>
      <c r="F194" s="321" t="s">
        <v>188</v>
      </c>
      <c r="G194" s="322" t="s">
        <v>188</v>
      </c>
      <c r="H194" s="346"/>
      <c r="I194" s="346"/>
      <c r="J194" s="346"/>
      <c r="K194" s="353"/>
      <c r="L194" s="353"/>
      <c r="M194" s="353"/>
      <c r="N194" s="358"/>
      <c r="O194" s="358"/>
      <c r="P194" s="358"/>
      <c r="Q194" s="365"/>
      <c r="R194" s="365"/>
      <c r="S194" s="365"/>
      <c r="T194" s="371"/>
      <c r="U194" s="371"/>
      <c r="V194" s="371"/>
      <c r="W194" s="380"/>
      <c r="X194" s="380"/>
      <c r="Y194" s="380"/>
      <c r="Z194" s="639">
        <v>66.185431163446154</v>
      </c>
      <c r="AA194" s="639">
        <v>19.797688101118556</v>
      </c>
      <c r="AB194" s="639">
        <v>14.016880735435292</v>
      </c>
      <c r="AC194" s="61">
        <v>33.814568836553846</v>
      </c>
      <c r="AH194" s="635">
        <v>184344.98626178</v>
      </c>
    </row>
    <row r="195" spans="1:37" ht="18" customHeight="1" x14ac:dyDescent="0.3">
      <c r="A195" s="41" t="s">
        <v>547</v>
      </c>
      <c r="B195" s="41" t="s">
        <v>580</v>
      </c>
      <c r="C195" s="85" t="s">
        <v>662</v>
      </c>
      <c r="D195" s="85" t="s">
        <v>663</v>
      </c>
      <c r="E195" s="320"/>
      <c r="F195" s="321" t="s">
        <v>188</v>
      </c>
      <c r="G195" s="322" t="s">
        <v>188</v>
      </c>
      <c r="H195" s="346"/>
      <c r="I195" s="346"/>
      <c r="J195" s="346"/>
      <c r="K195" s="353"/>
      <c r="L195" s="353"/>
      <c r="M195" s="353"/>
      <c r="N195" s="358"/>
      <c r="O195" s="358"/>
      <c r="P195" s="358"/>
      <c r="Q195" s="365"/>
      <c r="R195" s="365"/>
      <c r="S195" s="365"/>
      <c r="T195" s="371"/>
      <c r="U195" s="371"/>
      <c r="V195" s="371"/>
      <c r="W195" s="380"/>
      <c r="X195" s="380"/>
      <c r="Y195" s="380"/>
      <c r="Z195" s="639">
        <v>88.806448237845473</v>
      </c>
      <c r="AA195" s="639">
        <v>7.8540522231266783</v>
      </c>
      <c r="AB195" s="639">
        <v>3.339499539027857</v>
      </c>
      <c r="AC195" s="61">
        <v>11.193551762154534</v>
      </c>
      <c r="AH195" s="635">
        <v>204164.71470192599</v>
      </c>
    </row>
    <row r="196" spans="1:37" ht="18" customHeight="1" x14ac:dyDescent="0.3">
      <c r="A196" s="295" t="s">
        <v>547</v>
      </c>
      <c r="B196" s="208" t="s">
        <v>548</v>
      </c>
      <c r="C196" s="208" t="s">
        <v>549</v>
      </c>
      <c r="D196" s="208" t="s">
        <v>550</v>
      </c>
      <c r="E196" s="320"/>
      <c r="F196" s="321" t="s">
        <v>188</v>
      </c>
      <c r="G196" s="322" t="s">
        <v>188</v>
      </c>
      <c r="H196" s="347">
        <v>-17.600118104599233</v>
      </c>
      <c r="I196" s="347">
        <v>-20.980313523887077</v>
      </c>
      <c r="J196" s="347">
        <v>-13.222937869387337</v>
      </c>
      <c r="K196" s="354">
        <v>-21.358297682749196</v>
      </c>
      <c r="L196" s="354">
        <v>-30.419695764417952</v>
      </c>
      <c r="M196" s="354">
        <v>-11.805561768619086</v>
      </c>
      <c r="N196" s="359">
        <v>-10.538520664272113</v>
      </c>
      <c r="O196" s="359">
        <v>-29.636149080504282</v>
      </c>
      <c r="P196" s="359">
        <v>3.8442531217736757</v>
      </c>
      <c r="Q196" s="366">
        <v>0</v>
      </c>
      <c r="R196" s="366">
        <v>0</v>
      </c>
      <c r="S196" s="366">
        <v>0</v>
      </c>
      <c r="T196" s="372">
        <v>-4.2857142857142918</v>
      </c>
      <c r="U196" s="372">
        <v>-12.397660818713462</v>
      </c>
      <c r="V196" s="372">
        <v>1.4202172096908896</v>
      </c>
      <c r="W196" s="381">
        <v>-4</v>
      </c>
      <c r="X196" s="381">
        <v>-21.085557029829474</v>
      </c>
      <c r="Y196" s="381">
        <v>8.2660081576490256</v>
      </c>
      <c r="Z196" s="639">
        <v>65.000805132442011</v>
      </c>
      <c r="AA196" s="639">
        <v>17.244918978683511</v>
      </c>
      <c r="AB196" s="639">
        <v>17.754275888874478</v>
      </c>
      <c r="AC196" s="61">
        <v>34.999194867557989</v>
      </c>
      <c r="AE196" s="323">
        <v>7.7573756544997394</v>
      </c>
      <c r="AF196" s="323">
        <v>18.614133995798866</v>
      </c>
      <c r="AG196" s="323">
        <v>33.480402202277958</v>
      </c>
      <c r="AH196" s="635">
        <v>93227.7504271199</v>
      </c>
    </row>
    <row r="197" spans="1:37" ht="18" customHeight="1" x14ac:dyDescent="0.3">
      <c r="A197" s="295" t="s">
        <v>547</v>
      </c>
      <c r="B197" s="295" t="s">
        <v>548</v>
      </c>
      <c r="C197" s="325" t="s">
        <v>553</v>
      </c>
      <c r="D197" s="208" t="s">
        <v>554</v>
      </c>
      <c r="E197" s="320" t="s">
        <v>201</v>
      </c>
      <c r="F197" s="321" t="s">
        <v>346</v>
      </c>
      <c r="G197" s="322" t="s">
        <v>227</v>
      </c>
      <c r="H197" s="347">
        <v>-3.0071969160342178</v>
      </c>
      <c r="I197" s="347">
        <v>-4.5868806857447595</v>
      </c>
      <c r="J197" s="347">
        <v>-1.8381230375571391</v>
      </c>
      <c r="K197" s="354">
        <v>-7.6874804279510442</v>
      </c>
      <c r="L197" s="354">
        <v>-14.613205805921197</v>
      </c>
      <c r="M197" s="354">
        <v>-0.78736346046645167</v>
      </c>
      <c r="N197" s="359">
        <v>-16.50115905343371</v>
      </c>
      <c r="O197" s="359">
        <v>-29.621433428347885</v>
      </c>
      <c r="P197" s="359">
        <v>-0.35125944038510681</v>
      </c>
      <c r="Q197" s="366">
        <v>0</v>
      </c>
      <c r="R197" s="366">
        <v>0</v>
      </c>
      <c r="S197" s="366">
        <v>0</v>
      </c>
      <c r="T197" s="372">
        <v>-4.8571428571428612</v>
      </c>
      <c r="U197" s="372">
        <v>-11.111111111111114</v>
      </c>
      <c r="V197" s="372">
        <v>1.1428571428571388</v>
      </c>
      <c r="W197" s="381">
        <v>-15.285714285714292</v>
      </c>
      <c r="X197" s="381">
        <v>-28.08044243338361</v>
      </c>
      <c r="Y197" s="381">
        <v>0.74524168641815436</v>
      </c>
      <c r="Z197" s="639">
        <v>90.135178554217774</v>
      </c>
      <c r="AA197" s="639">
        <v>9.5793643768959811</v>
      </c>
      <c r="AB197" s="639">
        <v>0.28545706888623901</v>
      </c>
      <c r="AC197" s="61">
        <v>9.8648214457822192</v>
      </c>
      <c r="AE197" s="323">
        <v>2.7487576481876204</v>
      </c>
      <c r="AF197" s="323">
        <v>13.825842345454745</v>
      </c>
      <c r="AG197" s="323">
        <v>29.270173987962778</v>
      </c>
      <c r="AH197" s="635">
        <v>702.22059956689498</v>
      </c>
    </row>
    <row r="198" spans="1:37" ht="18" customHeight="1" x14ac:dyDescent="0.3">
      <c r="A198" s="295" t="s">
        <v>547</v>
      </c>
      <c r="B198" s="208" t="s">
        <v>548</v>
      </c>
      <c r="C198" s="325" t="s">
        <v>557</v>
      </c>
      <c r="D198" s="208" t="s">
        <v>746</v>
      </c>
      <c r="E198" s="320"/>
      <c r="F198" s="321" t="s">
        <v>346</v>
      </c>
      <c r="G198" s="322" t="s">
        <v>267</v>
      </c>
      <c r="H198" s="347">
        <v>-25.255320440309177</v>
      </c>
      <c r="I198" s="347">
        <v>-27.750608574819779</v>
      </c>
      <c r="J198" s="347">
        <v>-20.111151450896415</v>
      </c>
      <c r="K198" s="354">
        <v>-26.165638666722316</v>
      </c>
      <c r="L198" s="354">
        <v>-32.498996503910632</v>
      </c>
      <c r="M198" s="354">
        <v>-16.376435985845148</v>
      </c>
      <c r="N198" s="359">
        <v>-21.914228231639896</v>
      </c>
      <c r="O198" s="359">
        <v>-36.938786496461255</v>
      </c>
      <c r="P198" s="359">
        <v>-5.1225141573808912</v>
      </c>
      <c r="Q198" s="366">
        <v>0</v>
      </c>
      <c r="R198" s="366">
        <v>0</v>
      </c>
      <c r="S198" s="366">
        <v>0</v>
      </c>
      <c r="T198" s="372">
        <v>-1.7142857142857082</v>
      </c>
      <c r="U198" s="372">
        <v>-6.7062754926531909</v>
      </c>
      <c r="V198" s="372">
        <v>3.7856405720182806</v>
      </c>
      <c r="W198" s="381">
        <v>-6.7142857142857082</v>
      </c>
      <c r="X198" s="381">
        <v>-19.431667403803615</v>
      </c>
      <c r="Y198" s="381">
        <v>8.1446262715612647</v>
      </c>
      <c r="Z198" s="639">
        <v>60.561755491960106</v>
      </c>
      <c r="AA198" s="639">
        <v>20.329854728486897</v>
      </c>
      <c r="AB198" s="639">
        <v>19.108389779553001</v>
      </c>
      <c r="AC198" s="61">
        <v>39.438244508039901</v>
      </c>
      <c r="AE198" s="323">
        <v>7.6394571239233642</v>
      </c>
      <c r="AF198" s="323">
        <v>16.122560518065484</v>
      </c>
      <c r="AG198" s="323">
        <v>31.816272339080363</v>
      </c>
      <c r="AH198" s="635">
        <v>70701.295370910404</v>
      </c>
    </row>
    <row r="199" spans="1:37" ht="18" customHeight="1" x14ac:dyDescent="0.3">
      <c r="A199" s="295" t="s">
        <v>547</v>
      </c>
      <c r="B199" s="208" t="s">
        <v>548</v>
      </c>
      <c r="C199" s="208" t="s">
        <v>559</v>
      </c>
      <c r="D199" s="208" t="s">
        <v>560</v>
      </c>
      <c r="E199" s="320"/>
      <c r="F199" s="321" t="s">
        <v>188</v>
      </c>
      <c r="G199" s="322" t="s">
        <v>188</v>
      </c>
      <c r="H199" s="347">
        <v>-22.960327563204231</v>
      </c>
      <c r="I199" s="347">
        <v>-27.891175785078758</v>
      </c>
      <c r="J199" s="347">
        <v>-16.753521459132443</v>
      </c>
      <c r="K199" s="354">
        <v>-26.324094030233681</v>
      </c>
      <c r="L199" s="354">
        <v>-36.065482929210049</v>
      </c>
      <c r="M199" s="354">
        <v>-15.73837506410203</v>
      </c>
      <c r="N199" s="359">
        <v>-12.211756623454917</v>
      </c>
      <c r="O199" s="359">
        <v>-32.197543004235044</v>
      </c>
      <c r="P199" s="359">
        <v>2.9672810254651836</v>
      </c>
      <c r="Q199" s="366">
        <v>0</v>
      </c>
      <c r="R199" s="366">
        <v>0</v>
      </c>
      <c r="S199" s="366">
        <v>0</v>
      </c>
      <c r="T199" s="372">
        <v>-4.2857142857142918</v>
      </c>
      <c r="U199" s="372">
        <v>-12.397660818713462</v>
      </c>
      <c r="V199" s="372">
        <v>1.4202172096908896</v>
      </c>
      <c r="W199" s="381">
        <v>-4</v>
      </c>
      <c r="X199" s="381">
        <v>-21.085557029829474</v>
      </c>
      <c r="Y199" s="381">
        <v>8.2660081576490256</v>
      </c>
      <c r="Z199" s="639">
        <v>49.681473950369636</v>
      </c>
      <c r="AA199" s="639">
        <v>29.547945807722016</v>
      </c>
      <c r="AB199" s="639">
        <v>20.770580241908352</v>
      </c>
      <c r="AC199" s="61">
        <v>50.318526049630364</v>
      </c>
      <c r="AE199" s="323">
        <v>11.137654325946315</v>
      </c>
      <c r="AF199" s="323">
        <v>20.327107865108019</v>
      </c>
      <c r="AG199" s="323">
        <v>35.164824029700227</v>
      </c>
      <c r="AH199" s="635">
        <v>99545.626271605506</v>
      </c>
    </row>
    <row r="200" spans="1:37" ht="18" customHeight="1" x14ac:dyDescent="0.3">
      <c r="A200" s="295" t="s">
        <v>547</v>
      </c>
      <c r="B200" s="208" t="s">
        <v>548</v>
      </c>
      <c r="C200" s="208" t="s">
        <v>559</v>
      </c>
      <c r="D200" s="208" t="s">
        <v>562</v>
      </c>
      <c r="E200" s="320"/>
      <c r="F200" s="321" t="s">
        <v>736</v>
      </c>
      <c r="G200" s="322" t="s">
        <v>736</v>
      </c>
      <c r="H200" s="347">
        <v>-19.24548092118944</v>
      </c>
      <c r="I200" s="347">
        <v>-23.717629338540831</v>
      </c>
      <c r="J200" s="347">
        <v>-13.713182123724749</v>
      </c>
      <c r="K200" s="354">
        <v>-22.712594325184682</v>
      </c>
      <c r="L200" s="354">
        <v>-32.340786616067433</v>
      </c>
      <c r="M200" s="354">
        <v>-12.6980352552238</v>
      </c>
      <c r="N200" s="359">
        <v>-10.683638141040504</v>
      </c>
      <c r="O200" s="359">
        <v>-30.197469076336986</v>
      </c>
      <c r="P200" s="359">
        <v>4.0606457484153253</v>
      </c>
      <c r="Q200" s="366">
        <v>0</v>
      </c>
      <c r="R200" s="366">
        <v>0</v>
      </c>
      <c r="S200" s="366">
        <v>0</v>
      </c>
      <c r="T200" s="372">
        <v>-4.2857142857142918</v>
      </c>
      <c r="U200" s="372">
        <v>-12.397660818713462</v>
      </c>
      <c r="V200" s="372">
        <v>1.4202172096908896</v>
      </c>
      <c r="W200" s="381">
        <v>-4</v>
      </c>
      <c r="X200" s="381">
        <v>-21.085557029829474</v>
      </c>
      <c r="Y200" s="381">
        <v>8.2660081576490256</v>
      </c>
      <c r="Z200" s="639">
        <v>54.900042354599535</v>
      </c>
      <c r="AA200" s="639">
        <v>29.189394916134599</v>
      </c>
      <c r="AB200" s="639">
        <v>15.910562729265862</v>
      </c>
      <c r="AC200" s="61">
        <v>45.099957645400465</v>
      </c>
      <c r="AE200" s="323">
        <v>10.004447214816082</v>
      </c>
      <c r="AF200" s="323">
        <v>19.642751360843633</v>
      </c>
      <c r="AG200" s="323">
        <v>34.258114824752312</v>
      </c>
      <c r="AH200" s="635">
        <v>25668.953806278801</v>
      </c>
    </row>
    <row r="201" spans="1:37" ht="18" customHeight="1" x14ac:dyDescent="0.3">
      <c r="A201" s="295" t="s">
        <v>547</v>
      </c>
      <c r="B201" s="208" t="s">
        <v>548</v>
      </c>
      <c r="C201" s="208" t="s">
        <v>559</v>
      </c>
      <c r="D201" s="208" t="s">
        <v>563</v>
      </c>
      <c r="E201" s="320"/>
      <c r="F201" s="321" t="s">
        <v>736</v>
      </c>
      <c r="G201" s="322" t="s">
        <v>736</v>
      </c>
      <c r="H201" s="347">
        <v>-24.797760032601047</v>
      </c>
      <c r="I201" s="347">
        <v>-29.994891395450608</v>
      </c>
      <c r="J201" s="347">
        <v>-18.219016588279644</v>
      </c>
      <c r="K201" s="354">
        <v>-28.105084993248084</v>
      </c>
      <c r="L201" s="354">
        <v>-37.919944015882621</v>
      </c>
      <c r="M201" s="354">
        <v>-17.211485948807166</v>
      </c>
      <c r="N201" s="359">
        <v>-12.944409984677847</v>
      </c>
      <c r="O201" s="359">
        <v>-33.163318814765717</v>
      </c>
      <c r="P201" s="359">
        <v>2.453912980484489</v>
      </c>
      <c r="Q201" s="366">
        <v>0</v>
      </c>
      <c r="R201" s="366">
        <v>0</v>
      </c>
      <c r="S201" s="366">
        <v>0</v>
      </c>
      <c r="T201" s="372">
        <v>-4.2857142857142918</v>
      </c>
      <c r="U201" s="372">
        <v>-12.397660818713462</v>
      </c>
      <c r="V201" s="372">
        <v>1.4202172096908896</v>
      </c>
      <c r="W201" s="381">
        <v>-4</v>
      </c>
      <c r="X201" s="381">
        <v>-21.085557029829474</v>
      </c>
      <c r="Y201" s="381">
        <v>8.2660081576490256</v>
      </c>
      <c r="Z201" s="639">
        <v>46.760655584232516</v>
      </c>
      <c r="AA201" s="639">
        <v>30.239147136840277</v>
      </c>
      <c r="AB201" s="639">
        <v>23.00019727892721</v>
      </c>
      <c r="AC201" s="61">
        <v>53.239344415767491</v>
      </c>
      <c r="AE201" s="323">
        <v>11.775874807170965</v>
      </c>
      <c r="AF201" s="323">
        <v>20.708458067075455</v>
      </c>
      <c r="AG201" s="323">
        <v>35.617231795250206</v>
      </c>
      <c r="AH201" s="635">
        <v>71143.462068166002</v>
      </c>
    </row>
    <row r="202" spans="1:37" ht="18" customHeight="1" x14ac:dyDescent="0.3">
      <c r="A202" s="295" t="s">
        <v>547</v>
      </c>
      <c r="B202" s="296" t="s">
        <v>564</v>
      </c>
      <c r="C202" s="295" t="s">
        <v>565</v>
      </c>
      <c r="D202" s="295" t="s">
        <v>566</v>
      </c>
      <c r="E202" s="323" t="s">
        <v>201</v>
      </c>
      <c r="F202" s="321" t="s">
        <v>227</v>
      </c>
      <c r="G202" s="322" t="s">
        <v>227</v>
      </c>
      <c r="H202" s="347">
        <v>-5.167248956388903</v>
      </c>
      <c r="I202" s="347">
        <v>-8.1799411422009882</v>
      </c>
      <c r="J202" s="347">
        <v>-2.1129964873549625</v>
      </c>
      <c r="K202" s="354">
        <v>-9.1817927191480493</v>
      </c>
      <c r="L202" s="354">
        <v>-16.951064158271265</v>
      </c>
      <c r="M202" s="354">
        <v>-1.6431031709107629</v>
      </c>
      <c r="N202" s="359">
        <v>-13.482839772050113</v>
      </c>
      <c r="O202" s="359">
        <v>-31.411498906464118</v>
      </c>
      <c r="P202" s="359">
        <v>2.204843717832361</v>
      </c>
      <c r="Q202" s="366">
        <v>0</v>
      </c>
      <c r="R202" s="366">
        <v>0</v>
      </c>
      <c r="S202" s="366">
        <v>0</v>
      </c>
      <c r="T202" s="372">
        <v>-2</v>
      </c>
      <c r="U202" s="372">
        <v>-7.7787114845938419</v>
      </c>
      <c r="V202" s="372">
        <v>3.2913165266106432</v>
      </c>
      <c r="W202" s="381">
        <v>-7.4285714285714306</v>
      </c>
      <c r="X202" s="381">
        <v>-25.306122448979593</v>
      </c>
      <c r="Y202" s="381">
        <v>6.6326530612244881</v>
      </c>
      <c r="Z202" s="639">
        <v>84.348632921976304</v>
      </c>
      <c r="AA202" s="639">
        <v>2.367964245099091</v>
      </c>
      <c r="AB202" s="639">
        <v>13.283402832924605</v>
      </c>
      <c r="AC202" s="61">
        <v>15.651367078023696</v>
      </c>
      <c r="AE202" s="323">
        <v>6.0669446548460257</v>
      </c>
      <c r="AF202" s="323">
        <v>15.307960987360502</v>
      </c>
      <c r="AG202" s="323">
        <v>33.616342624296479</v>
      </c>
      <c r="AH202" s="635">
        <v>990.06682772460897</v>
      </c>
    </row>
    <row r="203" spans="1:37" ht="18" customHeight="1" x14ac:dyDescent="0.3">
      <c r="A203" s="295" t="s">
        <v>547</v>
      </c>
      <c r="B203" s="296" t="s">
        <v>564</v>
      </c>
      <c r="C203" s="208" t="s">
        <v>568</v>
      </c>
      <c r="D203" s="208" t="s">
        <v>569</v>
      </c>
      <c r="E203" s="320"/>
      <c r="F203" s="321" t="s">
        <v>188</v>
      </c>
      <c r="G203" s="322" t="s">
        <v>188</v>
      </c>
      <c r="H203" s="347">
        <v>-13.49005888634079</v>
      </c>
      <c r="I203" s="347">
        <v>-17.842526935265454</v>
      </c>
      <c r="J203" s="347">
        <v>-7.5218608353484768</v>
      </c>
      <c r="K203" s="354">
        <v>-15.7610294763616</v>
      </c>
      <c r="L203" s="354">
        <v>-25.970259917522313</v>
      </c>
      <c r="M203" s="354">
        <v>-5.2025848238576771</v>
      </c>
      <c r="N203" s="359">
        <v>-12.48371635247652</v>
      </c>
      <c r="O203" s="359">
        <v>-28.563934893725005</v>
      </c>
      <c r="P203" s="359">
        <v>2.6566496813406957</v>
      </c>
      <c r="Q203" s="366">
        <v>0</v>
      </c>
      <c r="R203" s="366">
        <v>0</v>
      </c>
      <c r="S203" s="366">
        <v>0</v>
      </c>
      <c r="T203" s="372">
        <v>-0.625</v>
      </c>
      <c r="U203" s="372">
        <v>-8.4791021671826599</v>
      </c>
      <c r="V203" s="372">
        <v>4.9415204678362556</v>
      </c>
      <c r="W203" s="381">
        <v>-6.875</v>
      </c>
      <c r="X203" s="381">
        <v>-20.408496732026151</v>
      </c>
      <c r="Y203" s="381">
        <v>5.3431372549019613</v>
      </c>
      <c r="Z203" s="639">
        <v>65.759304209226102</v>
      </c>
      <c r="AA203" s="639">
        <v>19.198294885304339</v>
      </c>
      <c r="AB203" s="639">
        <v>15.042400905469567</v>
      </c>
      <c r="AC203" s="61">
        <v>34.240695790773906</v>
      </c>
      <c r="AE203" s="323">
        <v>10.320666099916977</v>
      </c>
      <c r="AF203" s="323">
        <v>20.767675093664636</v>
      </c>
      <c r="AG203" s="323">
        <v>31.220584575065701</v>
      </c>
      <c r="AH203" s="635">
        <v>150751.45106140501</v>
      </c>
    </row>
    <row r="204" spans="1:37" ht="18" customHeight="1" x14ac:dyDescent="0.3">
      <c r="A204" s="295" t="s">
        <v>547</v>
      </c>
      <c r="B204" s="296" t="s">
        <v>564</v>
      </c>
      <c r="C204" s="208" t="s">
        <v>568</v>
      </c>
      <c r="D204" s="208" t="s">
        <v>571</v>
      </c>
      <c r="E204" s="320"/>
      <c r="F204" s="321" t="s">
        <v>737</v>
      </c>
      <c r="G204" s="322" t="s">
        <v>188</v>
      </c>
      <c r="H204" s="347">
        <v>-13.041803865684386</v>
      </c>
      <c r="I204" s="347">
        <v>-18.305117050863032</v>
      </c>
      <c r="J204" s="347">
        <v>-6.6249875658869115</v>
      </c>
      <c r="K204" s="354">
        <v>-15.710383614399674</v>
      </c>
      <c r="L204" s="354">
        <v>-26.528517674222144</v>
      </c>
      <c r="M204" s="354">
        <v>-5.1347781820972784</v>
      </c>
      <c r="N204" s="359">
        <v>-11.820482500199219</v>
      </c>
      <c r="O204" s="359">
        <v>-28.263296610524989</v>
      </c>
      <c r="P204" s="359">
        <v>3.1364036623070319</v>
      </c>
      <c r="Q204" s="366">
        <v>0</v>
      </c>
      <c r="R204" s="366">
        <v>0</v>
      </c>
      <c r="S204" s="366">
        <v>0</v>
      </c>
      <c r="T204" s="372">
        <v>-0.625</v>
      </c>
      <c r="U204" s="372">
        <v>-8.4791021671826599</v>
      </c>
      <c r="V204" s="372">
        <v>4.9415204678362556</v>
      </c>
      <c r="W204" s="381">
        <v>-6.875</v>
      </c>
      <c r="X204" s="381">
        <v>-20.408496732026151</v>
      </c>
      <c r="Y204" s="381">
        <v>5.3431372549019613</v>
      </c>
      <c r="Z204" s="639">
        <v>60.719604856761173</v>
      </c>
      <c r="AA204" s="639">
        <v>27.202246682968344</v>
      </c>
      <c r="AB204" s="639">
        <v>12.078148460270489</v>
      </c>
      <c r="AC204" s="61">
        <v>39.280395143238835</v>
      </c>
      <c r="AE204" s="323">
        <v>11.680129484976121</v>
      </c>
      <c r="AF204" s="323">
        <v>21.393739492124865</v>
      </c>
      <c r="AG204" s="323">
        <v>31.399700272832021</v>
      </c>
      <c r="AH204" s="635">
        <v>40986.500441154298</v>
      </c>
    </row>
    <row r="205" spans="1:37" ht="18" customHeight="1" x14ac:dyDescent="0.3">
      <c r="A205" s="295" t="s">
        <v>547</v>
      </c>
      <c r="B205" s="296" t="s">
        <v>564</v>
      </c>
      <c r="C205" s="208" t="s">
        <v>568</v>
      </c>
      <c r="D205" s="208" t="s">
        <v>572</v>
      </c>
      <c r="E205" s="320"/>
      <c r="F205" s="321" t="s">
        <v>737</v>
      </c>
      <c r="G205" s="322" t="s">
        <v>188</v>
      </c>
      <c r="H205" s="347">
        <v>-13.575697492402369</v>
      </c>
      <c r="I205" s="347">
        <v>-17.612902741966394</v>
      </c>
      <c r="J205" s="347">
        <v>-7.7797822623440709</v>
      </c>
      <c r="K205" s="354">
        <v>-15.71017661651527</v>
      </c>
      <c r="L205" s="354">
        <v>-25.711118405878054</v>
      </c>
      <c r="M205" s="354">
        <v>-5.1795049194085721</v>
      </c>
      <c r="N205" s="359">
        <v>-12.674242084635083</v>
      </c>
      <c r="O205" s="359">
        <v>-28.625338682602361</v>
      </c>
      <c r="P205" s="359">
        <v>2.5127370372333075</v>
      </c>
      <c r="Q205" s="366">
        <v>0</v>
      </c>
      <c r="R205" s="366">
        <v>0</v>
      </c>
      <c r="S205" s="366">
        <v>0</v>
      </c>
      <c r="T205" s="372">
        <v>-0.625</v>
      </c>
      <c r="U205" s="372">
        <v>-8.4791021671826599</v>
      </c>
      <c r="V205" s="372">
        <v>4.9415204678362556</v>
      </c>
      <c r="W205" s="381">
        <v>-6.875</v>
      </c>
      <c r="X205" s="381">
        <v>-20.408496732026151</v>
      </c>
      <c r="Y205" s="381">
        <v>5.3431372549019613</v>
      </c>
      <c r="Z205" s="639">
        <v>67.548823447725852</v>
      </c>
      <c r="AA205" s="639">
        <v>16.512661895144436</v>
      </c>
      <c r="AB205" s="639">
        <v>15.938514657129712</v>
      </c>
      <c r="AC205" s="61">
        <v>32.451176552274148</v>
      </c>
      <c r="AE205" s="323">
        <v>9.8331204796223233</v>
      </c>
      <c r="AF205" s="323">
        <v>20.531613486469482</v>
      </c>
      <c r="AG205" s="323">
        <v>31.138075719835669</v>
      </c>
      <c r="AH205" s="635">
        <v>117467.750565052</v>
      </c>
    </row>
    <row r="206" spans="1:37" ht="18" customHeight="1" x14ac:dyDescent="0.3">
      <c r="A206" s="295" t="s">
        <v>547</v>
      </c>
      <c r="B206" s="295" t="s">
        <v>548</v>
      </c>
      <c r="C206" s="295" t="s">
        <v>573</v>
      </c>
      <c r="D206" s="295" t="s">
        <v>745</v>
      </c>
      <c r="E206" s="323" t="s">
        <v>201</v>
      </c>
      <c r="F206" s="321" t="s">
        <v>738</v>
      </c>
      <c r="G206" s="322" t="s">
        <v>187</v>
      </c>
      <c r="H206" s="347">
        <v>-12.670687205217789</v>
      </c>
      <c r="I206" s="347">
        <v>-18.532833864528143</v>
      </c>
      <c r="J206" s="347">
        <v>-6.4305201231202744</v>
      </c>
      <c r="K206" s="354">
        <v>-17.96271886460103</v>
      </c>
      <c r="L206" s="354">
        <v>-28.597096813435186</v>
      </c>
      <c r="M206" s="354">
        <v>-8.8957683727101795</v>
      </c>
      <c r="N206" s="359">
        <v>-17.900628741218313</v>
      </c>
      <c r="O206" s="359">
        <v>-37.212801668884097</v>
      </c>
      <c r="P206" s="359">
        <v>-5.1428802562666505</v>
      </c>
      <c r="Q206" s="366">
        <v>0</v>
      </c>
      <c r="R206" s="366">
        <v>0</v>
      </c>
      <c r="S206" s="366">
        <v>0</v>
      </c>
      <c r="T206" s="372">
        <v>-2.7142857142857082</v>
      </c>
      <c r="U206" s="372">
        <v>-10.142857142857139</v>
      </c>
      <c r="V206" s="372">
        <v>3.8253968253968367</v>
      </c>
      <c r="W206" s="381">
        <v>-9.1428571428571388</v>
      </c>
      <c r="X206" s="381">
        <v>-25.393650793650792</v>
      </c>
      <c r="Y206" s="381">
        <v>1.8761904761904731</v>
      </c>
      <c r="Z206" s="639">
        <v>59.625575641178351</v>
      </c>
      <c r="AA206" s="639">
        <v>23.487297113006079</v>
      </c>
      <c r="AB206" s="639">
        <v>16.88712724581557</v>
      </c>
      <c r="AC206" s="61">
        <v>40.374424358821649</v>
      </c>
      <c r="AE206" s="323">
        <v>12.102313741407869</v>
      </c>
      <c r="AF206" s="323">
        <v>19.701328440725007</v>
      </c>
      <c r="AG206" s="323">
        <v>32.069921412617447</v>
      </c>
      <c r="AH206" s="635">
        <v>156844.94637409499</v>
      </c>
    </row>
    <row r="207" spans="1:37" ht="18" customHeight="1" x14ac:dyDescent="0.3">
      <c r="A207" s="295" t="s">
        <v>547</v>
      </c>
      <c r="B207" s="208" t="s">
        <v>574</v>
      </c>
      <c r="C207" s="208" t="s">
        <v>575</v>
      </c>
      <c r="D207" s="208" t="s">
        <v>576</v>
      </c>
      <c r="E207" s="320"/>
      <c r="F207" s="321" t="s">
        <v>188</v>
      </c>
      <c r="G207" s="322" t="s">
        <v>188</v>
      </c>
      <c r="H207" s="347">
        <v>-9.4619192735367506</v>
      </c>
      <c r="I207" s="347">
        <v>-14.780611400070612</v>
      </c>
      <c r="J207" s="347">
        <v>-1.9952196489123821</v>
      </c>
      <c r="K207" s="354">
        <v>-13.29440415722469</v>
      </c>
      <c r="L207" s="354">
        <v>-21.112189766451436</v>
      </c>
      <c r="M207" s="354">
        <v>-4.6287295203696885</v>
      </c>
      <c r="N207" s="359">
        <v>-14.273032994842026</v>
      </c>
      <c r="O207" s="359">
        <v>-27.562929505603279</v>
      </c>
      <c r="P207" s="359">
        <v>0.69313271339159144</v>
      </c>
      <c r="Q207" s="366">
        <v>0</v>
      </c>
      <c r="R207" s="366">
        <v>0</v>
      </c>
      <c r="S207" s="366">
        <v>0</v>
      </c>
      <c r="T207" s="372">
        <v>-1</v>
      </c>
      <c r="U207" s="372">
        <v>-6.0277777777777715</v>
      </c>
      <c r="V207" s="372">
        <v>3.5277777777777715</v>
      </c>
      <c r="W207" s="381">
        <v>-7.75</v>
      </c>
      <c r="X207" s="381">
        <v>-18.675016160310278</v>
      </c>
      <c r="Y207" s="381">
        <v>5.6280704589528057</v>
      </c>
      <c r="Z207" s="639">
        <v>66.180599817155297</v>
      </c>
      <c r="AA207" s="639">
        <v>19.720642215014063</v>
      </c>
      <c r="AB207" s="639">
        <v>14.098757967830633</v>
      </c>
      <c r="AC207" s="61">
        <v>33.819400182844696</v>
      </c>
      <c r="AE207" s="323">
        <v>12.78539175115823</v>
      </c>
      <c r="AF207" s="323">
        <v>16.483460246081748</v>
      </c>
      <c r="AG207" s="323">
        <v>28.25606221899487</v>
      </c>
      <c r="AH207" s="635">
        <v>191223.11518950202</v>
      </c>
    </row>
    <row r="208" spans="1:37" ht="18" customHeight="1" x14ac:dyDescent="0.3">
      <c r="A208" s="295" t="s">
        <v>547</v>
      </c>
      <c r="B208" s="295" t="s">
        <v>577</v>
      </c>
      <c r="C208" s="295" t="s">
        <v>578</v>
      </c>
      <c r="D208" s="295" t="s">
        <v>579</v>
      </c>
      <c r="E208" s="323" t="s">
        <v>187</v>
      </c>
      <c r="F208" s="321" t="s">
        <v>739</v>
      </c>
      <c r="G208" s="322" t="s">
        <v>187</v>
      </c>
      <c r="H208" s="347">
        <v>-14.836510957692539</v>
      </c>
      <c r="I208" s="347">
        <v>-18.804085574476602</v>
      </c>
      <c r="J208" s="347">
        <v>-10.740037494342999</v>
      </c>
      <c r="K208" s="354">
        <v>-17.892957420361299</v>
      </c>
      <c r="L208" s="354">
        <v>-26.490383220420739</v>
      </c>
      <c r="M208" s="354">
        <v>-9.0654920980623359</v>
      </c>
      <c r="N208" s="359">
        <v>-22.233493265876078</v>
      </c>
      <c r="O208" s="359">
        <v>-37.287472400506573</v>
      </c>
      <c r="P208" s="359">
        <v>-7.3738800658428403</v>
      </c>
      <c r="Q208" s="366">
        <v>0</v>
      </c>
      <c r="R208" s="366">
        <v>0</v>
      </c>
      <c r="S208" s="366">
        <v>0</v>
      </c>
      <c r="T208" s="372">
        <v>-2.8571428571428612</v>
      </c>
      <c r="U208" s="372">
        <v>-9.5697577276524726</v>
      </c>
      <c r="V208" s="372">
        <v>2.4269005847953196</v>
      </c>
      <c r="W208" s="381">
        <v>-12.285714285714292</v>
      </c>
      <c r="X208" s="381">
        <v>-24.362215061463189</v>
      </c>
      <c r="Y208" s="381">
        <v>-0.18462823725982958</v>
      </c>
      <c r="Z208" s="639">
        <v>72.812023601987278</v>
      </c>
      <c r="AA208" s="639">
        <v>12.891925506196023</v>
      </c>
      <c r="AB208" s="639">
        <v>14.29605089181671</v>
      </c>
      <c r="AC208" s="61">
        <v>27.187976398012733</v>
      </c>
      <c r="AE208" s="323">
        <v>8.0640480801336025</v>
      </c>
      <c r="AF208" s="323">
        <v>17.424891122358403</v>
      </c>
      <c r="AG208" s="323">
        <v>29.913592334663733</v>
      </c>
      <c r="AH208" s="635">
        <v>9354.8395537048309</v>
      </c>
    </row>
    <row r="209" spans="1:34" ht="18" customHeight="1" x14ac:dyDescent="0.3">
      <c r="A209" s="295" t="s">
        <v>547</v>
      </c>
      <c r="B209" s="295" t="s">
        <v>580</v>
      </c>
      <c r="C209" s="208" t="s">
        <v>581</v>
      </c>
      <c r="D209" s="208" t="s">
        <v>582</v>
      </c>
      <c r="E209" s="320"/>
      <c r="F209" s="321" t="s">
        <v>267</v>
      </c>
      <c r="G209" s="322" t="s">
        <v>267</v>
      </c>
      <c r="H209" s="347">
        <v>-20.403331085275823</v>
      </c>
      <c r="I209" s="347">
        <v>-27.764819392580506</v>
      </c>
      <c r="J209" s="347">
        <v>-8.8423102480016809</v>
      </c>
      <c r="K209" s="354">
        <v>-24.20371239728037</v>
      </c>
      <c r="L209" s="354">
        <v>-35.109157359027947</v>
      </c>
      <c r="M209" s="354">
        <v>-12.280800593218942</v>
      </c>
      <c r="N209" s="359">
        <v>-15.917592616466521</v>
      </c>
      <c r="O209" s="359">
        <v>-36.588329464337583</v>
      </c>
      <c r="P209" s="359">
        <v>-3.371342230712969</v>
      </c>
      <c r="Q209" s="366">
        <v>0</v>
      </c>
      <c r="R209" s="366">
        <v>0</v>
      </c>
      <c r="S209" s="366">
        <v>0</v>
      </c>
      <c r="T209" s="372">
        <v>-1</v>
      </c>
      <c r="U209" s="372">
        <v>-6.0254066538896325</v>
      </c>
      <c r="V209" s="372">
        <v>3.1841368126197835</v>
      </c>
      <c r="W209" s="381">
        <v>-6.4285714285714306</v>
      </c>
      <c r="X209" s="381">
        <v>-17.131519274376416</v>
      </c>
      <c r="Y209" s="381">
        <v>3.5600907029478464</v>
      </c>
      <c r="Z209" s="639">
        <v>40.564319721166676</v>
      </c>
      <c r="AA209" s="639">
        <v>41.88927250280485</v>
      </c>
      <c r="AB209" s="639">
        <v>17.546407776028474</v>
      </c>
      <c r="AC209" s="61">
        <v>59.435680278833324</v>
      </c>
      <c r="AE209" s="323">
        <v>18.922509144578825</v>
      </c>
      <c r="AF209" s="323">
        <v>22.828356765809005</v>
      </c>
      <c r="AG209" s="323">
        <v>33.216987233624614</v>
      </c>
      <c r="AH209" s="635">
        <v>17870.1581031938</v>
      </c>
    </row>
    <row r="210" spans="1:34" ht="18" customHeight="1" x14ac:dyDescent="0.3">
      <c r="A210" s="295" t="s">
        <v>547</v>
      </c>
      <c r="B210" s="296" t="s">
        <v>583</v>
      </c>
      <c r="C210" s="208" t="s">
        <v>584</v>
      </c>
      <c r="D210" s="208" t="s">
        <v>585</v>
      </c>
      <c r="E210" s="320"/>
      <c r="F210" s="321" t="s">
        <v>267</v>
      </c>
      <c r="G210" s="322" t="s">
        <v>267</v>
      </c>
      <c r="H210" s="347">
        <v>-2.9066307264164379</v>
      </c>
      <c r="I210" s="347">
        <v>-6.5149170799137437</v>
      </c>
      <c r="J210" s="347">
        <v>-1.8059009439497231E-2</v>
      </c>
      <c r="K210" s="354">
        <v>-8.3897511353648042</v>
      </c>
      <c r="L210" s="354">
        <v>-16.450093499731267</v>
      </c>
      <c r="M210" s="354">
        <v>-0.85659223594407763</v>
      </c>
      <c r="N210" s="359">
        <v>-13.717855930536956</v>
      </c>
      <c r="O210" s="359">
        <v>-25.432340330391824</v>
      </c>
      <c r="P210" s="359">
        <v>-2.1222307232229127</v>
      </c>
      <c r="Q210" s="366">
        <v>0</v>
      </c>
      <c r="R210" s="366">
        <v>0</v>
      </c>
      <c r="S210" s="366">
        <v>0</v>
      </c>
      <c r="T210" s="372">
        <v>-1.8571428571428612</v>
      </c>
      <c r="U210" s="372">
        <v>-6.7919799498746869</v>
      </c>
      <c r="V210" s="372">
        <v>3.2205513784461175</v>
      </c>
      <c r="W210" s="381">
        <v>-10.428571428571431</v>
      </c>
      <c r="X210" s="381">
        <v>-19.30504833512353</v>
      </c>
      <c r="Y210" s="381">
        <v>-0.67454350161116849</v>
      </c>
      <c r="Z210" s="639">
        <v>72.565975318175802</v>
      </c>
      <c r="AA210" s="639">
        <v>15.985280957893247</v>
      </c>
      <c r="AB210" s="639">
        <v>11.448743723930951</v>
      </c>
      <c r="AC210" s="61">
        <v>27.434024681824198</v>
      </c>
      <c r="AE210" s="323">
        <v>6.4968580704742465</v>
      </c>
      <c r="AF210" s="323">
        <v>15.593501263787189</v>
      </c>
      <c r="AG210" s="323">
        <v>23.310109607168911</v>
      </c>
      <c r="AH210" s="635">
        <v>220303.245752849</v>
      </c>
    </row>
    <row r="211" spans="1:34" ht="18" customHeight="1" x14ac:dyDescent="0.3">
      <c r="A211" s="295" t="s">
        <v>547</v>
      </c>
      <c r="B211" s="326" t="s">
        <v>587</v>
      </c>
      <c r="C211" s="208" t="s">
        <v>588</v>
      </c>
      <c r="D211" s="208" t="s">
        <v>589</v>
      </c>
      <c r="E211" s="320"/>
      <c r="F211" s="321" t="s">
        <v>188</v>
      </c>
      <c r="G211" s="322" t="s">
        <v>188</v>
      </c>
      <c r="H211" s="347">
        <v>-17.137294399244354</v>
      </c>
      <c r="I211" s="347">
        <v>-23.957238760475065</v>
      </c>
      <c r="J211" s="347">
        <v>-10.595096831935848</v>
      </c>
      <c r="K211" s="354">
        <v>-22.414230923019048</v>
      </c>
      <c r="L211" s="354">
        <v>-32.708950245115204</v>
      </c>
      <c r="M211" s="354">
        <v>-11.043823584946495</v>
      </c>
      <c r="N211" s="359">
        <v>-18.886199480053577</v>
      </c>
      <c r="O211" s="359">
        <v>-37.752500424800637</v>
      </c>
      <c r="P211" s="359">
        <v>-0.13778047679917904</v>
      </c>
      <c r="Q211" s="366">
        <v>0</v>
      </c>
      <c r="R211" s="366">
        <v>0</v>
      </c>
      <c r="S211" s="366">
        <v>0</v>
      </c>
      <c r="T211" s="372">
        <v>-1</v>
      </c>
      <c r="U211" s="372">
        <v>-7.4252297410192085</v>
      </c>
      <c r="V211" s="372">
        <v>3.9490392648287411</v>
      </c>
      <c r="W211" s="381">
        <v>-6.4285714285714306</v>
      </c>
      <c r="X211" s="381">
        <v>-21.126029359112067</v>
      </c>
      <c r="Y211" s="381">
        <v>6.9990452321279406</v>
      </c>
      <c r="Z211" s="639">
        <v>56.733735224823896</v>
      </c>
      <c r="AA211" s="639">
        <v>24.865950668840039</v>
      </c>
      <c r="AB211" s="639">
        <v>18.400314106336062</v>
      </c>
      <c r="AC211" s="61">
        <v>43.266264775176097</v>
      </c>
      <c r="AE211" s="323">
        <v>13.362141928539216</v>
      </c>
      <c r="AF211" s="323">
        <v>21.66512666016871</v>
      </c>
      <c r="AG211" s="323">
        <v>37.614719948001458</v>
      </c>
      <c r="AH211" s="635">
        <v>138909.49250428099</v>
      </c>
    </row>
    <row r="212" spans="1:34" ht="18" customHeight="1" x14ac:dyDescent="0.3">
      <c r="A212" s="295" t="s">
        <v>547</v>
      </c>
      <c r="B212" s="295" t="s">
        <v>590</v>
      </c>
      <c r="C212" s="295" t="s">
        <v>591</v>
      </c>
      <c r="D212" s="295" t="s">
        <v>592</v>
      </c>
      <c r="E212" s="323" t="s">
        <v>187</v>
      </c>
      <c r="F212" s="321" t="s">
        <v>187</v>
      </c>
      <c r="G212" s="322" t="s">
        <v>187</v>
      </c>
      <c r="H212" s="347">
        <v>-17.667655764595054</v>
      </c>
      <c r="I212" s="347">
        <v>-22.979777172117892</v>
      </c>
      <c r="J212" s="347">
        <v>-11.517769148929503</v>
      </c>
      <c r="K212" s="354">
        <v>-21.684445502701493</v>
      </c>
      <c r="L212" s="354">
        <v>-28.735158743553612</v>
      </c>
      <c r="M212" s="354">
        <v>-15.410231529882608</v>
      </c>
      <c r="N212" s="359">
        <v>-31.482613939661206</v>
      </c>
      <c r="O212" s="359">
        <v>-46.00917206093736</v>
      </c>
      <c r="P212" s="359">
        <v>-17.152914751635521</v>
      </c>
      <c r="Q212" s="366">
        <v>0</v>
      </c>
      <c r="R212" s="366">
        <v>0</v>
      </c>
      <c r="S212" s="366">
        <v>0</v>
      </c>
      <c r="T212" s="372">
        <v>-1.5714285714285694</v>
      </c>
      <c r="U212" s="372">
        <v>-5.9454518649565102</v>
      </c>
      <c r="V212" s="372">
        <v>0.57034743722050507</v>
      </c>
      <c r="W212" s="381">
        <v>-18.142857142857139</v>
      </c>
      <c r="X212" s="381">
        <v>-32.989139515455307</v>
      </c>
      <c r="Y212" s="381">
        <v>-6.8103592314118657</v>
      </c>
      <c r="Z212" s="639">
        <v>64.428373473356118</v>
      </c>
      <c r="AA212" s="639">
        <v>21.001117046501175</v>
      </c>
      <c r="AB212" s="639">
        <v>14.570509480142707</v>
      </c>
      <c r="AC212" s="61">
        <v>35.571626526643882</v>
      </c>
      <c r="AE212" s="323">
        <v>11.462008023188389</v>
      </c>
      <c r="AF212" s="323">
        <v>13.324927213671003</v>
      </c>
      <c r="AG212" s="323">
        <v>28.856257309301839</v>
      </c>
      <c r="AH212" s="635">
        <v>174761.130621499</v>
      </c>
    </row>
    <row r="213" spans="1:34" ht="18" customHeight="1" x14ac:dyDescent="0.3">
      <c r="A213" s="295" t="s">
        <v>547</v>
      </c>
      <c r="B213" s="295" t="s">
        <v>590</v>
      </c>
      <c r="C213" s="295" t="s">
        <v>594</v>
      </c>
      <c r="D213" s="295" t="s">
        <v>595</v>
      </c>
      <c r="E213" s="323" t="s">
        <v>740</v>
      </c>
      <c r="F213" s="323" t="s">
        <v>740</v>
      </c>
      <c r="G213" s="324" t="s">
        <v>187</v>
      </c>
      <c r="H213" s="347">
        <v>-2.831206178443324E-2</v>
      </c>
      <c r="I213" s="347">
        <v>-4.7823728393609599E-2</v>
      </c>
      <c r="J213" s="347">
        <v>-1.0103310833599721E-2</v>
      </c>
      <c r="K213" s="354">
        <v>-1.6082814170381283</v>
      </c>
      <c r="L213" s="354">
        <v>-5.9947450117172991</v>
      </c>
      <c r="M213" s="354">
        <v>0.54643170829808696</v>
      </c>
      <c r="N213" s="359">
        <v>-18.161868939532425</v>
      </c>
      <c r="O213" s="359">
        <v>-33.011585791678186</v>
      </c>
      <c r="P213" s="359">
        <v>-6.8222746582159033</v>
      </c>
      <c r="Q213" s="366">
        <v>0</v>
      </c>
      <c r="R213" s="366">
        <v>0</v>
      </c>
      <c r="S213" s="366">
        <v>0</v>
      </c>
      <c r="T213" s="372">
        <v>-1.5714285714285694</v>
      </c>
      <c r="U213" s="372">
        <v>-5.9454518649565102</v>
      </c>
      <c r="V213" s="372">
        <v>0.57034743722050507</v>
      </c>
      <c r="W213" s="381">
        <v>-18.142857142857139</v>
      </c>
      <c r="X213" s="381">
        <v>-32.989139515455307</v>
      </c>
      <c r="Y213" s="381">
        <v>-6.8103592314118657</v>
      </c>
      <c r="Z213" s="639">
        <v>99.897997786081504</v>
      </c>
      <c r="AA213" s="639">
        <v>9.71200015899919E-2</v>
      </c>
      <c r="AB213" s="639">
        <v>4.8822123285165893E-3</v>
      </c>
      <c r="AC213" s="61">
        <v>0.10200221391850849</v>
      </c>
      <c r="AE213" s="323">
        <v>3.7720417560009878E-2</v>
      </c>
      <c r="AF213" s="323">
        <v>6.5411767200153861</v>
      </c>
      <c r="AG213" s="323">
        <v>26.189311133462283</v>
      </c>
      <c r="AH213" s="635">
        <v>17923.120550255102</v>
      </c>
    </row>
    <row r="214" spans="1:34" ht="18" customHeight="1" x14ac:dyDescent="0.3">
      <c r="A214" s="295" t="s">
        <v>547</v>
      </c>
      <c r="B214" s="295" t="s">
        <v>590</v>
      </c>
      <c r="C214" s="295" t="s">
        <v>596</v>
      </c>
      <c r="D214" s="295" t="s">
        <v>597</v>
      </c>
      <c r="E214" s="323" t="s">
        <v>740</v>
      </c>
      <c r="F214" s="323" t="s">
        <v>740</v>
      </c>
      <c r="G214" s="324" t="s">
        <v>187</v>
      </c>
      <c r="H214" s="347">
        <v>-19.692222643239774</v>
      </c>
      <c r="I214" s="347">
        <v>-25.611806950731307</v>
      </c>
      <c r="J214" s="347">
        <v>-12.838568611995271</v>
      </c>
      <c r="K214" s="354">
        <v>-23.988700095860267</v>
      </c>
      <c r="L214" s="354">
        <v>-31.345204471173332</v>
      </c>
      <c r="M214" s="354">
        <v>-17.241667650069289</v>
      </c>
      <c r="N214" s="359">
        <v>-33.011510854069357</v>
      </c>
      <c r="O214" s="359">
        <v>-47.500978318192836</v>
      </c>
      <c r="P214" s="359">
        <v>-18.338620422804084</v>
      </c>
      <c r="Q214" s="366">
        <v>0</v>
      </c>
      <c r="R214" s="366">
        <v>0</v>
      </c>
      <c r="S214" s="366">
        <v>0</v>
      </c>
      <c r="T214" s="372">
        <v>-1.5714285714285694</v>
      </c>
      <c r="U214" s="372">
        <v>-5.9454518649565102</v>
      </c>
      <c r="V214" s="372">
        <v>0.57034743722050507</v>
      </c>
      <c r="W214" s="381">
        <v>-18.142857142857139</v>
      </c>
      <c r="X214" s="381">
        <v>-32.989139515455307</v>
      </c>
      <c r="Y214" s="381">
        <v>-6.8103592314118657</v>
      </c>
      <c r="Z214" s="639">
        <v>60.357323768433616</v>
      </c>
      <c r="AA214" s="639">
        <v>23.400388057096372</v>
      </c>
      <c r="AB214" s="639">
        <v>16.242288174470019</v>
      </c>
      <c r="AC214" s="61">
        <v>39.642676231566391</v>
      </c>
      <c r="AE214" s="323">
        <v>12.773238338736036</v>
      </c>
      <c r="AF214" s="323">
        <v>14.103536821104043</v>
      </c>
      <c r="AG214" s="323">
        <v>29.162357895388752</v>
      </c>
      <c r="AH214" s="635">
        <v>156834.39647440799</v>
      </c>
    </row>
    <row r="215" spans="1:34" ht="18" customHeight="1" x14ac:dyDescent="0.3">
      <c r="A215" s="295" t="s">
        <v>547</v>
      </c>
      <c r="B215" s="208" t="s">
        <v>598</v>
      </c>
      <c r="C215" s="208" t="s">
        <v>599</v>
      </c>
      <c r="D215" s="208" t="s">
        <v>600</v>
      </c>
      <c r="E215" s="320"/>
      <c r="F215" s="321" t="s">
        <v>738</v>
      </c>
      <c r="G215" s="322" t="s">
        <v>267</v>
      </c>
      <c r="H215" s="347">
        <v>-17.384217363682353</v>
      </c>
      <c r="I215" s="347">
        <v>-22.442615733193307</v>
      </c>
      <c r="J215" s="347">
        <v>-11.548700085957933</v>
      </c>
      <c r="K215" s="354">
        <v>-20.963006331473153</v>
      </c>
      <c r="L215" s="354">
        <v>-28.917710142439674</v>
      </c>
      <c r="M215" s="354">
        <v>-13.612695675330002</v>
      </c>
      <c r="N215" s="359">
        <v>-25.026315440566492</v>
      </c>
      <c r="O215" s="359">
        <v>-37.894565363118311</v>
      </c>
      <c r="P215" s="359">
        <v>-14.545880223455498</v>
      </c>
      <c r="Q215" s="366">
        <v>0</v>
      </c>
      <c r="R215" s="366">
        <v>0</v>
      </c>
      <c r="S215" s="366">
        <v>0</v>
      </c>
      <c r="T215" s="372">
        <v>-1.5714285714285694</v>
      </c>
      <c r="U215" s="372">
        <v>-7.2086097596933456</v>
      </c>
      <c r="V215" s="372">
        <v>1.1785345717234321</v>
      </c>
      <c r="W215" s="381">
        <v>-10.428571428571431</v>
      </c>
      <c r="X215" s="381">
        <v>-23.082539682539689</v>
      </c>
      <c r="Y215" s="381">
        <v>-2.6888888888888971</v>
      </c>
      <c r="Z215" s="639">
        <v>58.563169671595887</v>
      </c>
      <c r="AA215" s="639">
        <v>24.538116581424497</v>
      </c>
      <c r="AB215" s="639">
        <v>16.89871374697961</v>
      </c>
      <c r="AC215" s="61">
        <v>41.436830328404106</v>
      </c>
      <c r="AE215" s="323">
        <v>10.893915647235374</v>
      </c>
      <c r="AF215" s="323">
        <v>15.305014467109672</v>
      </c>
      <c r="AG215" s="323">
        <v>23.348685139662813</v>
      </c>
      <c r="AH215" s="635">
        <v>145210.48536889302</v>
      </c>
    </row>
    <row r="216" spans="1:34" ht="18" customHeight="1" x14ac:dyDescent="0.3">
      <c r="A216" s="295" t="s">
        <v>547</v>
      </c>
      <c r="B216" s="208" t="s">
        <v>598</v>
      </c>
      <c r="C216" s="329" t="s">
        <v>602</v>
      </c>
      <c r="D216" s="329" t="s">
        <v>603</v>
      </c>
      <c r="E216" s="320"/>
      <c r="F216" s="321" t="s">
        <v>346</v>
      </c>
      <c r="G216" s="322" t="s">
        <v>346</v>
      </c>
      <c r="H216" s="347">
        <v>-16.034159063953155</v>
      </c>
      <c r="I216" s="347">
        <v>-21.507701989241639</v>
      </c>
      <c r="J216" s="347">
        <v>-9.0178076088185577</v>
      </c>
      <c r="K216" s="354">
        <v>-18.269000937316008</v>
      </c>
      <c r="L216" s="354">
        <v>-28.588617489125241</v>
      </c>
      <c r="M216" s="354">
        <v>-7.615380404112571</v>
      </c>
      <c r="N216" s="359">
        <v>-13.427108935596777</v>
      </c>
      <c r="O216" s="359">
        <v>-30.37132578094014</v>
      </c>
      <c r="P216" s="359">
        <v>-0.63106496739881379</v>
      </c>
      <c r="Q216" s="366">
        <v>0</v>
      </c>
      <c r="R216" s="366">
        <v>0</v>
      </c>
      <c r="S216" s="366">
        <v>0</v>
      </c>
      <c r="T216" s="372">
        <v>0</v>
      </c>
      <c r="U216" s="372">
        <v>-9.2810457516339824</v>
      </c>
      <c r="V216" s="372">
        <v>7.3762838468720844</v>
      </c>
      <c r="W216" s="381">
        <v>-1</v>
      </c>
      <c r="X216" s="381">
        <v>-16.53808189942643</v>
      </c>
      <c r="Y216" s="381">
        <v>11.821928771508595</v>
      </c>
      <c r="Z216" s="639">
        <v>52.760216755487534</v>
      </c>
      <c r="AA216" s="639">
        <v>28.617693160962393</v>
      </c>
      <c r="AB216" s="639">
        <v>18.622090083550074</v>
      </c>
      <c r="AC216" s="61">
        <v>47.239783244512466</v>
      </c>
      <c r="AE216" s="323">
        <v>12.489894380423081</v>
      </c>
      <c r="AF216" s="323">
        <v>20.97323708501267</v>
      </c>
      <c r="AG216" s="323">
        <v>29.740260813541326</v>
      </c>
      <c r="AH216" s="635">
        <v>32162.515810403802</v>
      </c>
    </row>
    <row r="217" spans="1:34" ht="18" customHeight="1" x14ac:dyDescent="0.3">
      <c r="A217" s="295" t="s">
        <v>547</v>
      </c>
      <c r="B217" s="295" t="s">
        <v>580</v>
      </c>
      <c r="C217" s="295" t="s">
        <v>605</v>
      </c>
      <c r="D217" s="295" t="s">
        <v>606</v>
      </c>
      <c r="E217" s="323" t="s">
        <v>187</v>
      </c>
      <c r="F217" s="321" t="s">
        <v>187</v>
      </c>
      <c r="G217" s="322" t="s">
        <v>187</v>
      </c>
      <c r="H217" s="347">
        <v>-10.444308915273083</v>
      </c>
      <c r="I217" s="347">
        <v>-17.881451905805932</v>
      </c>
      <c r="J217" s="347">
        <v>-4.267079952995033</v>
      </c>
      <c r="K217" s="354">
        <v>-16.21812991645433</v>
      </c>
      <c r="L217" s="354">
        <v>-29.718948320422342</v>
      </c>
      <c r="M217" s="354">
        <v>-7.292562613902021</v>
      </c>
      <c r="N217" s="359">
        <v>-22.724536966879199</v>
      </c>
      <c r="O217" s="359">
        <v>-39.294513846938621</v>
      </c>
      <c r="P217" s="359">
        <v>-9.2811490610956753</v>
      </c>
      <c r="Q217" s="366">
        <v>0</v>
      </c>
      <c r="R217" s="366">
        <v>0</v>
      </c>
      <c r="S217" s="366">
        <v>0</v>
      </c>
      <c r="T217" s="372">
        <v>-3.2857142857142918</v>
      </c>
      <c r="U217" s="372">
        <v>-11.782790309106105</v>
      </c>
      <c r="V217" s="372">
        <v>2.5154553049289774</v>
      </c>
      <c r="W217" s="381">
        <v>-12.428571428571431</v>
      </c>
      <c r="X217" s="381">
        <v>-26.480112044817929</v>
      </c>
      <c r="Y217" s="381">
        <v>2.4089635854338098E-2</v>
      </c>
      <c r="Z217" s="639">
        <v>49.442649713671798</v>
      </c>
      <c r="AA217" s="639">
        <v>30.558222497681882</v>
      </c>
      <c r="AB217" s="639">
        <v>19.999127788646316</v>
      </c>
      <c r="AC217" s="61">
        <v>50.557350286328202</v>
      </c>
      <c r="AE217" s="323">
        <v>13.614371952810899</v>
      </c>
      <c r="AF217" s="323">
        <v>22.426385706520321</v>
      </c>
      <c r="AG217" s="323">
        <v>30.013364785842946</v>
      </c>
      <c r="AH217" s="635">
        <v>81205.211429134288</v>
      </c>
    </row>
    <row r="218" spans="1:34" ht="18" customHeight="1" x14ac:dyDescent="0.3">
      <c r="A218" s="295" t="s">
        <v>547</v>
      </c>
      <c r="B218" s="296" t="s">
        <v>608</v>
      </c>
      <c r="C218" s="295" t="s">
        <v>609</v>
      </c>
      <c r="D218" s="295" t="s">
        <v>610</v>
      </c>
      <c r="E218" s="323"/>
      <c r="F218" s="321" t="s">
        <v>187</v>
      </c>
      <c r="G218" s="322" t="s">
        <v>187</v>
      </c>
      <c r="H218" s="347">
        <v>-7.073972741147216</v>
      </c>
      <c r="I218" s="347">
        <v>-9.396993449507292</v>
      </c>
      <c r="J218" s="347">
        <v>-4.2705503636498037</v>
      </c>
      <c r="K218" s="354">
        <v>-9.900700953263069</v>
      </c>
      <c r="L218" s="354">
        <v>-16.700680106798771</v>
      </c>
      <c r="M218" s="354">
        <v>-5.0166117933683267</v>
      </c>
      <c r="N218" s="359">
        <v>-25.750905055786845</v>
      </c>
      <c r="O218" s="359">
        <v>-41.101044103554443</v>
      </c>
      <c r="P218" s="359">
        <v>-8.2722160144523684</v>
      </c>
      <c r="Q218" s="366">
        <v>0</v>
      </c>
      <c r="R218" s="366">
        <v>0</v>
      </c>
      <c r="S218" s="366">
        <v>0</v>
      </c>
      <c r="T218" s="372">
        <v>-2.25</v>
      </c>
      <c r="U218" s="372">
        <v>-7.2875816993464042</v>
      </c>
      <c r="V218" s="372">
        <v>0.47222222222222854</v>
      </c>
      <c r="W218" s="381">
        <v>-21.875</v>
      </c>
      <c r="X218" s="381">
        <v>-35.68335667600374</v>
      </c>
      <c r="Y218" s="381">
        <v>-5.3583099906629315</v>
      </c>
      <c r="Z218" s="639">
        <v>83.111152525453633</v>
      </c>
      <c r="AA218" s="639">
        <v>9.9506307691587335</v>
      </c>
      <c r="AB218" s="639">
        <v>6.9382167053876342</v>
      </c>
      <c r="AC218" s="61">
        <v>16.888847474546367</v>
      </c>
      <c r="AE218" s="323">
        <v>5.1264430858574883</v>
      </c>
      <c r="AF218" s="323">
        <v>11.684068313430444</v>
      </c>
      <c r="AG218" s="323">
        <v>32.828828089102075</v>
      </c>
      <c r="AH218" s="635">
        <v>293453.80971875403</v>
      </c>
    </row>
    <row r="219" spans="1:34" ht="18" customHeight="1" x14ac:dyDescent="0.3">
      <c r="A219" s="295" t="s">
        <v>547</v>
      </c>
      <c r="B219" s="296" t="s">
        <v>608</v>
      </c>
      <c r="C219" s="295" t="s">
        <v>612</v>
      </c>
      <c r="D219" s="295" t="s">
        <v>613</v>
      </c>
      <c r="E219" s="323" t="s">
        <v>187</v>
      </c>
      <c r="F219" s="321" t="s">
        <v>740</v>
      </c>
      <c r="G219" s="322" t="s">
        <v>192</v>
      </c>
      <c r="H219" s="347">
        <v>-7.1244924374598639</v>
      </c>
      <c r="I219" s="347">
        <v>-9.5843199669426014</v>
      </c>
      <c r="J219" s="347">
        <v>-4.1885743071920984</v>
      </c>
      <c r="K219" s="354">
        <v>-9.9922769946095116</v>
      </c>
      <c r="L219" s="354">
        <v>-16.89583527910122</v>
      </c>
      <c r="M219" s="354">
        <v>-5.0217333875574752</v>
      </c>
      <c r="N219" s="359">
        <v>-25.788645817877153</v>
      </c>
      <c r="O219" s="359">
        <v>-41.172287887102719</v>
      </c>
      <c r="P219" s="359">
        <v>-8.2338236953699351</v>
      </c>
      <c r="Q219" s="366">
        <v>0</v>
      </c>
      <c r="R219" s="366">
        <v>0</v>
      </c>
      <c r="S219" s="366">
        <v>0</v>
      </c>
      <c r="T219" s="372">
        <v>-2.25</v>
      </c>
      <c r="U219" s="372">
        <v>-7.2875816993464042</v>
      </c>
      <c r="V219" s="372">
        <v>0.47222222222222854</v>
      </c>
      <c r="W219" s="381">
        <v>-21.875</v>
      </c>
      <c r="X219" s="381">
        <v>-35.68335667600374</v>
      </c>
      <c r="Y219" s="381">
        <v>-5.3583099906629315</v>
      </c>
      <c r="Z219" s="639">
        <v>82.346119330575846</v>
      </c>
      <c r="AA219" s="639">
        <v>10.860810680254646</v>
      </c>
      <c r="AB219" s="639">
        <v>6.7930699891695161</v>
      </c>
      <c r="AC219" s="61">
        <v>17.653880669424161</v>
      </c>
      <c r="AE219" s="323">
        <v>5.3957456597505029</v>
      </c>
      <c r="AF219" s="323">
        <v>11.874101891543745</v>
      </c>
      <c r="AG219" s="323">
        <v>32.938464191732784</v>
      </c>
      <c r="AH219" s="635">
        <v>240116.32726166199</v>
      </c>
    </row>
    <row r="220" spans="1:34" ht="18" customHeight="1" x14ac:dyDescent="0.3">
      <c r="A220" s="295" t="s">
        <v>547</v>
      </c>
      <c r="B220" s="208" t="s">
        <v>614</v>
      </c>
      <c r="C220" s="295" t="s">
        <v>615</v>
      </c>
      <c r="D220" s="295" t="s">
        <v>616</v>
      </c>
      <c r="E220" s="320"/>
      <c r="F220" s="321" t="s">
        <v>188</v>
      </c>
      <c r="G220" s="322" t="s">
        <v>188</v>
      </c>
      <c r="H220" s="347">
        <v>-5.7029977615166416</v>
      </c>
      <c r="I220" s="347">
        <v>-7.836186361208334</v>
      </c>
      <c r="J220" s="347">
        <v>-3.0371130724368385</v>
      </c>
      <c r="K220" s="354">
        <v>-8.4213087447130874</v>
      </c>
      <c r="L220" s="354">
        <v>-16.470530844850686</v>
      </c>
      <c r="M220" s="354">
        <v>-1.3824955686652203</v>
      </c>
      <c r="N220" s="359">
        <v>-7.3792388107306834</v>
      </c>
      <c r="O220" s="359">
        <v>-23.746161042972432</v>
      </c>
      <c r="P220" s="359">
        <v>2.3991072889265865</v>
      </c>
      <c r="Q220" s="366">
        <v>0</v>
      </c>
      <c r="R220" s="366">
        <v>0</v>
      </c>
      <c r="S220" s="366">
        <v>0</v>
      </c>
      <c r="T220" s="372">
        <v>-1.875</v>
      </c>
      <c r="U220" s="372">
        <v>-8.5416666666666714</v>
      </c>
      <c r="V220" s="372">
        <v>3.0555555555555571</v>
      </c>
      <c r="W220" s="381">
        <v>-3.75</v>
      </c>
      <c r="X220" s="381">
        <v>-19.344070961718018</v>
      </c>
      <c r="Y220" s="381">
        <v>4.7408963585434094</v>
      </c>
      <c r="Z220" s="639">
        <v>87.475781883538303</v>
      </c>
      <c r="AA220" s="639">
        <v>7.796481500385152</v>
      </c>
      <c r="AB220" s="639">
        <v>4.7277366160765437</v>
      </c>
      <c r="AC220" s="61">
        <v>12.524218116461697</v>
      </c>
      <c r="AE220" s="323">
        <v>4.7990732887714955</v>
      </c>
      <c r="AF220" s="323">
        <v>15.088035276185465</v>
      </c>
      <c r="AG220" s="323">
        <v>26.145268331899018</v>
      </c>
      <c r="AH220" s="635">
        <v>257937.175661641</v>
      </c>
    </row>
    <row r="221" spans="1:34" ht="18" customHeight="1" x14ac:dyDescent="0.3">
      <c r="A221" s="295" t="s">
        <v>547</v>
      </c>
      <c r="B221" s="296" t="s">
        <v>617</v>
      </c>
      <c r="C221" s="295" t="s">
        <v>618</v>
      </c>
      <c r="D221" s="295" t="s">
        <v>619</v>
      </c>
      <c r="E221" s="323" t="s">
        <v>201</v>
      </c>
      <c r="F221" s="321" t="s">
        <v>187</v>
      </c>
      <c r="G221" s="322" t="s">
        <v>187</v>
      </c>
      <c r="H221" s="347">
        <v>-38.935539520713348</v>
      </c>
      <c r="I221" s="347">
        <v>-47.158813411806598</v>
      </c>
      <c r="J221" s="347">
        <v>-27.272837556811851</v>
      </c>
      <c r="K221" s="354">
        <v>-46.337461860650791</v>
      </c>
      <c r="L221" s="354">
        <v>-59.065769557631484</v>
      </c>
      <c r="M221" s="354">
        <v>-32.785619345489252</v>
      </c>
      <c r="N221" s="359">
        <v>-36.701896165952718</v>
      </c>
      <c r="O221" s="359">
        <v>-63.075265490018246</v>
      </c>
      <c r="P221" s="359">
        <v>-16.771072318476541</v>
      </c>
      <c r="Q221" s="366">
        <v>0</v>
      </c>
      <c r="R221" s="366">
        <v>0</v>
      </c>
      <c r="S221" s="366">
        <v>0</v>
      </c>
      <c r="T221" s="372">
        <v>-1.7142857142857082</v>
      </c>
      <c r="U221" s="372">
        <v>-7.9682539682539613</v>
      </c>
      <c r="V221" s="372">
        <v>2.5079365079365203</v>
      </c>
      <c r="W221" s="381">
        <v>-9.7142857142857082</v>
      </c>
      <c r="X221" s="381">
        <v>-30.646258503401356</v>
      </c>
      <c r="Y221" s="381">
        <v>0.91836734693877986</v>
      </c>
      <c r="Z221" s="639">
        <v>18.632746372193417</v>
      </c>
      <c r="AA221" s="639">
        <v>43.220349910468279</v>
      </c>
      <c r="AB221" s="639">
        <v>38.146903717338304</v>
      </c>
      <c r="AC221" s="61">
        <v>81.367253627806576</v>
      </c>
      <c r="AE221" s="323">
        <v>19.885975854994747</v>
      </c>
      <c r="AF221" s="323">
        <v>26.280150212142232</v>
      </c>
      <c r="AG221" s="323">
        <v>46.304193171541705</v>
      </c>
      <c r="AH221" s="635">
        <v>5699.0264697050798</v>
      </c>
    </row>
    <row r="222" spans="1:34" ht="18" customHeight="1" x14ac:dyDescent="0.3">
      <c r="A222" s="295" t="s">
        <v>547</v>
      </c>
      <c r="B222" s="296" t="s">
        <v>617</v>
      </c>
      <c r="C222" s="295" t="s">
        <v>620</v>
      </c>
      <c r="D222" s="295" t="s">
        <v>693</v>
      </c>
      <c r="E222" s="323" t="s">
        <v>741</v>
      </c>
      <c r="F222" s="321" t="s">
        <v>267</v>
      </c>
      <c r="G222" s="322" t="s">
        <v>267</v>
      </c>
      <c r="H222" s="347">
        <v>-19.347930466479667</v>
      </c>
      <c r="I222" s="347">
        <v>-25.43078279746635</v>
      </c>
      <c r="J222" s="347">
        <v>-12.645669967608654</v>
      </c>
      <c r="K222" s="354">
        <v>-29.005004536428018</v>
      </c>
      <c r="L222" s="354">
        <v>-38.473981796094833</v>
      </c>
      <c r="M222" s="354">
        <v>-17.901152833621396</v>
      </c>
      <c r="N222" s="359">
        <v>-28.395074704230694</v>
      </c>
      <c r="O222" s="359">
        <v>-50.952777936554973</v>
      </c>
      <c r="P222" s="359">
        <v>-10.594226832101043</v>
      </c>
      <c r="Q222" s="366">
        <v>0</v>
      </c>
      <c r="R222" s="366">
        <v>0</v>
      </c>
      <c r="S222" s="366">
        <v>0</v>
      </c>
      <c r="T222" s="372">
        <v>-2.4285714285714306</v>
      </c>
      <c r="U222" s="372">
        <v>-8.9206349206349245</v>
      </c>
      <c r="V222" s="372">
        <v>1.8730158730158735</v>
      </c>
      <c r="W222" s="381">
        <v>-12.571428571428569</v>
      </c>
      <c r="X222" s="381">
        <v>-31.463785514205682</v>
      </c>
      <c r="Y222" s="381">
        <v>-0.56942777110843679</v>
      </c>
      <c r="Z222" s="639">
        <v>52.210656790729125</v>
      </c>
      <c r="AA222" s="639">
        <v>29.024196025482556</v>
      </c>
      <c r="AB222" s="639">
        <v>18.765147183788322</v>
      </c>
      <c r="AC222" s="61">
        <v>47.789343209270882</v>
      </c>
      <c r="AE222" s="323">
        <v>12.785112829857695</v>
      </c>
      <c r="AF222" s="323">
        <v>20.572828962473437</v>
      </c>
      <c r="AG222" s="323">
        <v>40.35855110445393</v>
      </c>
      <c r="AH222" s="635">
        <v>51163.073783</v>
      </c>
    </row>
    <row r="223" spans="1:34" ht="18" customHeight="1" x14ac:dyDescent="0.3">
      <c r="A223" s="295" t="s">
        <v>547</v>
      </c>
      <c r="B223" s="296" t="s">
        <v>617</v>
      </c>
      <c r="C223" s="295" t="s">
        <v>620</v>
      </c>
      <c r="D223" s="295" t="s">
        <v>622</v>
      </c>
      <c r="E223" s="323" t="s">
        <v>741</v>
      </c>
      <c r="F223" s="321" t="s">
        <v>742</v>
      </c>
      <c r="G223" s="322" t="s">
        <v>187</v>
      </c>
      <c r="H223" s="347">
        <v>-14.425690112574614</v>
      </c>
      <c r="I223" s="347">
        <v>-19.872864678806238</v>
      </c>
      <c r="J223" s="347">
        <v>-8.7485512789691029</v>
      </c>
      <c r="K223" s="354">
        <v>-23.951624373723021</v>
      </c>
      <c r="L223" s="354">
        <v>-33.321657555628207</v>
      </c>
      <c r="M223" s="354">
        <v>-13.341391084548761</v>
      </c>
      <c r="N223" s="359">
        <v>-24.696913594406482</v>
      </c>
      <c r="O223" s="359">
        <v>-47.493108920081603</v>
      </c>
      <c r="P223" s="359">
        <v>-7.7708354375569115</v>
      </c>
      <c r="Q223" s="366">
        <v>0</v>
      </c>
      <c r="R223" s="366">
        <v>0</v>
      </c>
      <c r="S223" s="366">
        <v>0</v>
      </c>
      <c r="T223" s="372">
        <v>-2.4285714285714306</v>
      </c>
      <c r="U223" s="372">
        <v>-8.9206349206349245</v>
      </c>
      <c r="V223" s="372">
        <v>1.8730158730158735</v>
      </c>
      <c r="W223" s="381">
        <v>-12.571428571428569</v>
      </c>
      <c r="X223" s="381">
        <v>-31.463785514205682</v>
      </c>
      <c r="Y223" s="381">
        <v>-0.56942777110843679</v>
      </c>
      <c r="Z223" s="639">
        <v>58.67254853006461</v>
      </c>
      <c r="AA223" s="639">
        <v>30.036234035800092</v>
      </c>
      <c r="AB223" s="639">
        <v>11.291217434135298</v>
      </c>
      <c r="AC223" s="61">
        <v>41.32745146993539</v>
      </c>
      <c r="AE223" s="323">
        <v>11.124313399837135</v>
      </c>
      <c r="AF223" s="323">
        <v>19.980266471079446</v>
      </c>
      <c r="AG223" s="323">
        <v>39.722273482524692</v>
      </c>
      <c r="AH223" s="635">
        <v>29196.648365000001</v>
      </c>
    </row>
    <row r="224" spans="1:34" ht="18" customHeight="1" x14ac:dyDescent="0.3">
      <c r="A224" s="295" t="s">
        <v>547</v>
      </c>
      <c r="B224" s="296" t="s">
        <v>617</v>
      </c>
      <c r="C224" s="295" t="s">
        <v>623</v>
      </c>
      <c r="D224" s="295" t="s">
        <v>624</v>
      </c>
      <c r="E224" s="323" t="s">
        <v>741</v>
      </c>
      <c r="F224" s="321" t="s">
        <v>742</v>
      </c>
      <c r="G224" s="322" t="s">
        <v>267</v>
      </c>
      <c r="H224" s="347">
        <v>-25.990600545150514</v>
      </c>
      <c r="I224" s="347">
        <v>-32.940962376274499</v>
      </c>
      <c r="J224" s="347">
        <v>-17.897720995952952</v>
      </c>
      <c r="K224" s="354">
        <v>-35.842722016314752</v>
      </c>
      <c r="L224" s="354">
        <v>-45.452193296188589</v>
      </c>
      <c r="M224" s="354">
        <v>-24.059633148003954</v>
      </c>
      <c r="N224" s="359">
        <v>-33.389288493028346</v>
      </c>
      <c r="O224" s="359">
        <v>-55.637532127151616</v>
      </c>
      <c r="P224" s="359">
        <v>-14.40156582432833</v>
      </c>
      <c r="Q224" s="366">
        <v>0</v>
      </c>
      <c r="R224" s="366">
        <v>0</v>
      </c>
      <c r="S224" s="366">
        <v>0</v>
      </c>
      <c r="T224" s="372">
        <v>-2.4285714285714306</v>
      </c>
      <c r="U224" s="372">
        <v>-8.9206349206349245</v>
      </c>
      <c r="V224" s="372">
        <v>1.8730158730158735</v>
      </c>
      <c r="W224" s="381">
        <v>-12.571428571428569</v>
      </c>
      <c r="X224" s="381">
        <v>-31.463785514205682</v>
      </c>
      <c r="Y224" s="381">
        <v>-0.56942777110843679</v>
      </c>
      <c r="Z224" s="639">
        <v>43.429921601868898</v>
      </c>
      <c r="AA224" s="639">
        <v>27.747270355638598</v>
      </c>
      <c r="AB224" s="639">
        <v>28.822808042492515</v>
      </c>
      <c r="AC224" s="61">
        <v>56.570078398131116</v>
      </c>
      <c r="AE224" s="323">
        <v>15.043241380321547</v>
      </c>
      <c r="AF224" s="323">
        <v>21.392560148184636</v>
      </c>
      <c r="AG224" s="323">
        <v>41.235966302823286</v>
      </c>
      <c r="AH224" s="635">
        <v>13385.655919999999</v>
      </c>
    </row>
    <row r="225" spans="1:34" ht="18" customHeight="1" x14ac:dyDescent="0.3">
      <c r="A225" s="295" t="s">
        <v>547</v>
      </c>
      <c r="B225" s="295" t="s">
        <v>577</v>
      </c>
      <c r="C225" s="295" t="s">
        <v>625</v>
      </c>
      <c r="D225" s="295" t="s">
        <v>626</v>
      </c>
      <c r="E225" s="323" t="s">
        <v>201</v>
      </c>
      <c r="F225" s="321" t="s">
        <v>187</v>
      </c>
      <c r="G225" s="322" t="s">
        <v>187</v>
      </c>
      <c r="H225" s="347">
        <v>-9.2697247704600017</v>
      </c>
      <c r="I225" s="347">
        <v>-14.114634454388266</v>
      </c>
      <c r="J225" s="347">
        <v>-5.8129719368820219</v>
      </c>
      <c r="K225" s="354">
        <v>-16.952161261437809</v>
      </c>
      <c r="L225" s="354">
        <v>-26.949312970149634</v>
      </c>
      <c r="M225" s="354">
        <v>-8.6346499213880179</v>
      </c>
      <c r="N225" s="359">
        <v>-17.774501609559721</v>
      </c>
      <c r="O225" s="359">
        <v>-35.958056088460609</v>
      </c>
      <c r="P225" s="359">
        <v>-3.7563902561014118</v>
      </c>
      <c r="Q225" s="366">
        <v>0</v>
      </c>
      <c r="R225" s="366">
        <v>0</v>
      </c>
      <c r="S225" s="366">
        <v>0</v>
      </c>
      <c r="T225" s="372">
        <v>-2.1428571428571388</v>
      </c>
      <c r="U225" s="372">
        <v>-9.6380952380952323</v>
      </c>
      <c r="V225" s="372">
        <v>2.330158730158729</v>
      </c>
      <c r="W225" s="381">
        <v>-7.8571428571428612</v>
      </c>
      <c r="X225" s="381">
        <v>-25.408163265306129</v>
      </c>
      <c r="Y225" s="381">
        <v>3.7981859410430729</v>
      </c>
      <c r="Z225" s="639">
        <v>72.903937895419304</v>
      </c>
      <c r="AA225" s="639">
        <v>14.644731023888117</v>
      </c>
      <c r="AB225" s="639">
        <v>12.451331080692588</v>
      </c>
      <c r="AC225" s="61">
        <v>27.096062104580703</v>
      </c>
      <c r="AE225" s="323">
        <v>8.3016625175062444</v>
      </c>
      <c r="AF225" s="323">
        <v>18.314663048761616</v>
      </c>
      <c r="AG225" s="323">
        <v>32.201665832359197</v>
      </c>
      <c r="AH225" s="635">
        <v>26315.2023769138</v>
      </c>
    </row>
    <row r="226" spans="1:34" ht="18" customHeight="1" x14ac:dyDescent="0.3">
      <c r="A226" s="295" t="s">
        <v>547</v>
      </c>
      <c r="B226" s="295" t="s">
        <v>577</v>
      </c>
      <c r="C226" s="295" t="s">
        <v>628</v>
      </c>
      <c r="D226" s="295" t="s">
        <v>629</v>
      </c>
      <c r="E226" s="323" t="s">
        <v>187</v>
      </c>
      <c r="F226" s="321" t="s">
        <v>187</v>
      </c>
      <c r="G226" s="322" t="s">
        <v>187</v>
      </c>
      <c r="H226" s="347">
        <v>-13.839255690246674</v>
      </c>
      <c r="I226" s="347">
        <v>-22.41085698791359</v>
      </c>
      <c r="J226" s="347">
        <v>-8.4639016672596767</v>
      </c>
      <c r="K226" s="354">
        <v>-23.901738901480158</v>
      </c>
      <c r="L226" s="354">
        <v>-38.243920056193978</v>
      </c>
      <c r="M226" s="354">
        <v>-11.177469448455</v>
      </c>
      <c r="N226" s="359">
        <v>-26.070417204065535</v>
      </c>
      <c r="O226" s="359">
        <v>-47.411984661783571</v>
      </c>
      <c r="P226" s="359">
        <v>-8.8516654757488595</v>
      </c>
      <c r="Q226" s="366">
        <v>0</v>
      </c>
      <c r="R226" s="366">
        <v>0</v>
      </c>
      <c r="S226" s="366">
        <v>0</v>
      </c>
      <c r="T226" s="372">
        <v>-3.2857142857142918</v>
      </c>
      <c r="U226" s="372">
        <v>-11.34453781512606</v>
      </c>
      <c r="V226" s="372">
        <v>3.4873949579831844</v>
      </c>
      <c r="W226" s="381">
        <v>-17.142857142857139</v>
      </c>
      <c r="X226" s="381">
        <v>-35.040816326530603</v>
      </c>
      <c r="Y226" s="381">
        <v>-3.9863945578231323</v>
      </c>
      <c r="Z226" s="639">
        <v>54.374244034134705</v>
      </c>
      <c r="AA226" s="639">
        <v>30.155506252676055</v>
      </c>
      <c r="AB226" s="639">
        <v>15.470249713189244</v>
      </c>
      <c r="AC226" s="61">
        <v>45.625755965865295</v>
      </c>
      <c r="AE226" s="323">
        <v>13.946955320653913</v>
      </c>
      <c r="AF226" s="323">
        <v>27.066450607738979</v>
      </c>
      <c r="AG226" s="323">
        <v>38.560319186034711</v>
      </c>
      <c r="AH226" s="635">
        <v>63984.838940472699</v>
      </c>
    </row>
    <row r="227" spans="1:34" ht="18" customHeight="1" x14ac:dyDescent="0.3">
      <c r="A227" s="295" t="s">
        <v>547</v>
      </c>
      <c r="B227" s="295" t="s">
        <v>577</v>
      </c>
      <c r="C227" s="295" t="s">
        <v>630</v>
      </c>
      <c r="D227" s="295" t="s">
        <v>631</v>
      </c>
      <c r="E227" s="323" t="s">
        <v>201</v>
      </c>
      <c r="F227" s="321" t="s">
        <v>187</v>
      </c>
      <c r="G227" s="322" t="s">
        <v>187</v>
      </c>
      <c r="H227" s="347">
        <v>-33.994886606190008</v>
      </c>
      <c r="I227" s="347">
        <v>-49.136292741934085</v>
      </c>
      <c r="J227" s="347">
        <v>-17.18025218940474</v>
      </c>
      <c r="K227" s="354">
        <v>-36.015357823139446</v>
      </c>
      <c r="L227" s="354">
        <v>-59.710315501900908</v>
      </c>
      <c r="M227" s="354">
        <v>-18.674083451689611</v>
      </c>
      <c r="N227" s="359">
        <v>-30.167393582008728</v>
      </c>
      <c r="O227" s="359">
        <v>-62.010301822336551</v>
      </c>
      <c r="P227" s="359">
        <v>-8.4093995111070683</v>
      </c>
      <c r="Q227" s="366">
        <v>0</v>
      </c>
      <c r="R227" s="366">
        <v>0</v>
      </c>
      <c r="S227" s="366">
        <v>0</v>
      </c>
      <c r="T227" s="372">
        <v>-2.75</v>
      </c>
      <c r="U227" s="372">
        <v>-12.903594771241828</v>
      </c>
      <c r="V227" s="372">
        <v>2.9174836601307135</v>
      </c>
      <c r="W227" s="381">
        <v>-12.875</v>
      </c>
      <c r="X227" s="381">
        <v>-31.828479853479848</v>
      </c>
      <c r="Y227" s="381">
        <v>-1.7659035409035369</v>
      </c>
      <c r="Z227" s="639">
        <v>26.283270609041708</v>
      </c>
      <c r="AA227" s="639">
        <v>51.648409249666116</v>
      </c>
      <c r="AB227" s="639">
        <v>22.068320141292176</v>
      </c>
      <c r="AC227" s="61">
        <v>73.716729390958292</v>
      </c>
      <c r="AE227" s="323">
        <v>31.956040552529345</v>
      </c>
      <c r="AF227" s="323">
        <v>41.036232050211296</v>
      </c>
      <c r="AG227" s="323">
        <v>53.600902311229483</v>
      </c>
      <c r="AH227" s="635">
        <v>9540.0974012866191</v>
      </c>
    </row>
    <row r="228" spans="1:34" ht="18" customHeight="1" x14ac:dyDescent="0.3">
      <c r="A228" s="295" t="s">
        <v>547</v>
      </c>
      <c r="B228" s="295" t="s">
        <v>633</v>
      </c>
      <c r="C228" s="295" t="s">
        <v>634</v>
      </c>
      <c r="D228" s="295" t="s">
        <v>635</v>
      </c>
      <c r="E228" s="323" t="s">
        <v>187</v>
      </c>
      <c r="F228" s="321" t="s">
        <v>187</v>
      </c>
      <c r="G228" s="322" t="s">
        <v>187</v>
      </c>
      <c r="H228" s="347">
        <v>-3.2930781584501574</v>
      </c>
      <c r="I228" s="347">
        <v>-5.3937272415908524</v>
      </c>
      <c r="J228" s="347">
        <v>-0.69812408376535018</v>
      </c>
      <c r="K228" s="354">
        <v>-10.158336387741556</v>
      </c>
      <c r="L228" s="354">
        <v>-21.237994078663263</v>
      </c>
      <c r="M228" s="354">
        <v>-3.2377881666252506</v>
      </c>
      <c r="N228" s="359">
        <v>-15.180962279955665</v>
      </c>
      <c r="O228" s="359">
        <v>-32.969336307823625</v>
      </c>
      <c r="P228" s="359">
        <v>0.509252528561845</v>
      </c>
      <c r="Q228" s="366">
        <v>0</v>
      </c>
      <c r="R228" s="366">
        <v>0</v>
      </c>
      <c r="S228" s="366">
        <v>0</v>
      </c>
      <c r="T228" s="372">
        <v>-5</v>
      </c>
      <c r="U228" s="372">
        <v>-15.092203548085905</v>
      </c>
      <c r="V228" s="372">
        <v>0.6973622782446256</v>
      </c>
      <c r="W228" s="381">
        <v>-13.125</v>
      </c>
      <c r="X228" s="381">
        <v>-29.49404761904762</v>
      </c>
      <c r="Y228" s="381">
        <v>2.2916666666666714</v>
      </c>
      <c r="Z228" s="639">
        <v>84.783043160030928</v>
      </c>
      <c r="AA228" s="639">
        <v>9.1223006613468485</v>
      </c>
      <c r="AB228" s="639">
        <v>6.0946561786222224</v>
      </c>
      <c r="AC228" s="61">
        <v>15.216956839969072</v>
      </c>
      <c r="AE228" s="323">
        <v>4.6956031578255022</v>
      </c>
      <c r="AF228" s="323">
        <v>18.000205912038012</v>
      </c>
      <c r="AG228" s="323">
        <v>33.47858883638547</v>
      </c>
      <c r="AH228" s="635">
        <v>130145.45350705201</v>
      </c>
    </row>
    <row r="229" spans="1:34" ht="18" customHeight="1" x14ac:dyDescent="0.3">
      <c r="A229" s="41" t="s">
        <v>547</v>
      </c>
      <c r="B229" s="41" t="s">
        <v>577</v>
      </c>
      <c r="C229" s="85" t="s">
        <v>637</v>
      </c>
      <c r="D229" s="85" t="s">
        <v>638</v>
      </c>
      <c r="E229" s="320"/>
      <c r="F229" s="321" t="s">
        <v>188</v>
      </c>
      <c r="G229" s="322" t="s">
        <v>188</v>
      </c>
      <c r="H229" s="347">
        <v>-21.232383272523009</v>
      </c>
      <c r="I229" s="347">
        <v>-28.15950693952081</v>
      </c>
      <c r="J229" s="347">
        <v>-15.180117511157164</v>
      </c>
      <c r="K229" s="354">
        <v>-24.574519141445776</v>
      </c>
      <c r="L229" s="354">
        <v>-35.806671242254183</v>
      </c>
      <c r="M229" s="354">
        <v>-14.210334427145114</v>
      </c>
      <c r="N229" s="359">
        <v>-18.941188382007212</v>
      </c>
      <c r="O229" s="359">
        <v>-36.281120529720503</v>
      </c>
      <c r="P229" s="359">
        <v>-4.7122179630850098</v>
      </c>
      <c r="Q229" s="366">
        <v>0</v>
      </c>
      <c r="R229" s="366">
        <v>0</v>
      </c>
      <c r="S229" s="366">
        <v>0</v>
      </c>
      <c r="T229" s="372">
        <v>-1.2857142857142918</v>
      </c>
      <c r="U229" s="372">
        <v>-10.793650793650798</v>
      </c>
      <c r="V229" s="372">
        <v>5.1587301587301511</v>
      </c>
      <c r="W229" s="381">
        <v>-7.1428571428571388</v>
      </c>
      <c r="X229" s="381">
        <v>-22.777777777777771</v>
      </c>
      <c r="Y229" s="381">
        <v>4.9206349206349245</v>
      </c>
      <c r="Z229" s="639">
        <v>64.017551717559144</v>
      </c>
      <c r="AA229" s="639">
        <v>20.947950148708721</v>
      </c>
      <c r="AB229" s="639">
        <v>15.034498133732141</v>
      </c>
      <c r="AC229" s="61">
        <v>35.982448282440863</v>
      </c>
      <c r="AE229" s="323">
        <v>12.979389428363646</v>
      </c>
      <c r="AF229" s="323">
        <v>21.596336815109069</v>
      </c>
      <c r="AG229" s="323">
        <v>31.568902566635494</v>
      </c>
      <c r="AH229" s="635">
        <v>131381.23671785099</v>
      </c>
    </row>
    <row r="230" spans="1:34" ht="18" customHeight="1" x14ac:dyDescent="0.3">
      <c r="A230" s="41" t="s">
        <v>547</v>
      </c>
      <c r="B230" s="86" t="s">
        <v>639</v>
      </c>
      <c r="C230" s="41" t="s">
        <v>640</v>
      </c>
      <c r="D230" s="41" t="s">
        <v>641</v>
      </c>
      <c r="E230" s="320"/>
      <c r="F230" s="321" t="s">
        <v>188</v>
      </c>
      <c r="G230" s="322" t="s">
        <v>188</v>
      </c>
      <c r="H230" s="347">
        <v>-2.4804689797992268</v>
      </c>
      <c r="I230" s="347">
        <v>-5.8360220086257328</v>
      </c>
      <c r="J230" s="347">
        <v>1.3785434040922979</v>
      </c>
      <c r="K230" s="354">
        <v>-7.4911276572864836</v>
      </c>
      <c r="L230" s="354">
        <v>-15.867073204858528</v>
      </c>
      <c r="M230" s="354">
        <v>0.40671580265060925</v>
      </c>
      <c r="N230" s="359">
        <v>-8.730468979799241</v>
      </c>
      <c r="O230" s="359">
        <v>-21.241680312778215</v>
      </c>
      <c r="P230" s="359">
        <v>3.9042282199228566</v>
      </c>
      <c r="Q230" s="366">
        <v>0</v>
      </c>
      <c r="R230" s="366">
        <v>0</v>
      </c>
      <c r="S230" s="366">
        <v>0</v>
      </c>
      <c r="T230" s="372">
        <v>-0.625</v>
      </c>
      <c r="U230" s="372">
        <v>-6.5563725490196134</v>
      </c>
      <c r="V230" s="372">
        <v>3.4681372549019613</v>
      </c>
      <c r="W230" s="381">
        <v>-6.25</v>
      </c>
      <c r="X230" s="381">
        <v>-16.764705882352942</v>
      </c>
      <c r="Y230" s="381">
        <v>5.2567693744164359</v>
      </c>
      <c r="Z230" s="639">
        <v>70.478342073340698</v>
      </c>
      <c r="AA230" s="639">
        <v>17.956126915716137</v>
      </c>
      <c r="AB230" s="639">
        <v>11.565531010943166</v>
      </c>
      <c r="AC230" s="61">
        <v>29.521657926659302</v>
      </c>
      <c r="AE230" s="323">
        <v>7.2145654127180308</v>
      </c>
      <c r="AF230" s="323">
        <v>16.273789007509137</v>
      </c>
      <c r="AG230" s="323">
        <v>25.145908532701071</v>
      </c>
      <c r="AH230" s="635">
        <v>155727.65625663599</v>
      </c>
    </row>
    <row r="231" spans="1:34" ht="18" customHeight="1" x14ac:dyDescent="0.3">
      <c r="A231" s="41" t="s">
        <v>547</v>
      </c>
      <c r="B231" s="327" t="s">
        <v>614</v>
      </c>
      <c r="C231" s="85" t="s">
        <v>642</v>
      </c>
      <c r="D231" s="85" t="s">
        <v>643</v>
      </c>
      <c r="E231" s="320"/>
      <c r="F231" s="321" t="s">
        <v>188</v>
      </c>
      <c r="G231" s="322" t="s">
        <v>188</v>
      </c>
      <c r="H231" s="347">
        <v>-9.156540015547975</v>
      </c>
      <c r="I231" s="347">
        <v>-16.493233446680208</v>
      </c>
      <c r="J231" s="347">
        <v>-0.99647679575292614</v>
      </c>
      <c r="K231" s="354">
        <v>-14.319124267949562</v>
      </c>
      <c r="L231" s="354">
        <v>-24.019169807795137</v>
      </c>
      <c r="M231" s="354">
        <v>-4.9867485950587707</v>
      </c>
      <c r="N231" s="359">
        <v>-15.197568657120144</v>
      </c>
      <c r="O231" s="359">
        <v>-30.355865535634805</v>
      </c>
      <c r="P231" s="359">
        <v>-0.60782948953897176</v>
      </c>
      <c r="Q231" s="366">
        <v>0</v>
      </c>
      <c r="R231" s="366">
        <v>0</v>
      </c>
      <c r="S231" s="366">
        <v>0</v>
      </c>
      <c r="T231" s="372">
        <v>-1.5</v>
      </c>
      <c r="U231" s="372">
        <v>-6.4910130718954235</v>
      </c>
      <c r="V231" s="372">
        <v>3.3619281045751563</v>
      </c>
      <c r="W231" s="381">
        <v>-8.375</v>
      </c>
      <c r="X231" s="381">
        <v>-20.762928248222366</v>
      </c>
      <c r="Y231" s="381">
        <v>4.2544440853264405</v>
      </c>
      <c r="Z231" s="639">
        <v>58.394331010797352</v>
      </c>
      <c r="AA231" s="639">
        <v>24.92385119808279</v>
      </c>
      <c r="AB231" s="639">
        <v>16.681817791119862</v>
      </c>
      <c r="AC231" s="61">
        <v>41.605668989202655</v>
      </c>
      <c r="AE231" s="323">
        <v>15.496756650927281</v>
      </c>
      <c r="AF231" s="323">
        <v>19.032421212736367</v>
      </c>
      <c r="AG231" s="323">
        <v>29.748036046095834</v>
      </c>
      <c r="AH231" s="635">
        <v>113630.15153766499</v>
      </c>
    </row>
    <row r="232" spans="1:34" ht="18" customHeight="1" x14ac:dyDescent="0.3">
      <c r="A232" s="41" t="s">
        <v>547</v>
      </c>
      <c r="B232" s="86" t="s">
        <v>574</v>
      </c>
      <c r="C232" s="86" t="s">
        <v>644</v>
      </c>
      <c r="D232" s="86" t="s">
        <v>645</v>
      </c>
      <c r="E232" s="320"/>
      <c r="F232" s="321" t="s">
        <v>188</v>
      </c>
      <c r="G232" s="322" t="s">
        <v>188</v>
      </c>
      <c r="H232" s="347">
        <v>-12.826446507094573</v>
      </c>
      <c r="I232" s="347">
        <v>-18.6447472709241</v>
      </c>
      <c r="J232" s="347">
        <v>-1.5388023098593777</v>
      </c>
      <c r="K232" s="354">
        <v>-16.67124678346336</v>
      </c>
      <c r="L232" s="354">
        <v>-26.750332843403726</v>
      </c>
      <c r="M232" s="354">
        <v>-6.0283323142220411</v>
      </c>
      <c r="N232" s="359">
        <v>-14.127870501425832</v>
      </c>
      <c r="O232" s="359">
        <v>-30.476621080140632</v>
      </c>
      <c r="P232" s="359">
        <v>0.60979971223271434</v>
      </c>
      <c r="Q232" s="366">
        <v>0</v>
      </c>
      <c r="R232" s="366">
        <v>0</v>
      </c>
      <c r="S232" s="366">
        <v>0</v>
      </c>
      <c r="T232" s="372">
        <v>-1.5</v>
      </c>
      <c r="U232" s="372">
        <v>-6.4910130718954235</v>
      </c>
      <c r="V232" s="372">
        <v>3.3619281045751563</v>
      </c>
      <c r="W232" s="381">
        <v>-6.875</v>
      </c>
      <c r="X232" s="381">
        <v>-20.365896358543409</v>
      </c>
      <c r="Y232" s="381">
        <v>5.5007002801120422</v>
      </c>
      <c r="Z232" s="639">
        <v>53.195402429971068</v>
      </c>
      <c r="AA232" s="639">
        <v>27.351494883242811</v>
      </c>
      <c r="AB232" s="639">
        <v>19.453102686786121</v>
      </c>
      <c r="AC232" s="61">
        <v>46.804597570028932</v>
      </c>
      <c r="AE232" s="323">
        <v>17.105944961064722</v>
      </c>
      <c r="AF232" s="323">
        <v>20.722000529181685</v>
      </c>
      <c r="AG232" s="323">
        <v>31.086420792373346</v>
      </c>
      <c r="AH232" s="635">
        <v>113796.739199228</v>
      </c>
    </row>
    <row r="233" spans="1:34" ht="18" customHeight="1" x14ac:dyDescent="0.3">
      <c r="A233" s="41" t="s">
        <v>547</v>
      </c>
      <c r="B233" s="41" t="s">
        <v>548</v>
      </c>
      <c r="C233" s="41" t="s">
        <v>646</v>
      </c>
      <c r="D233" s="41" t="s">
        <v>889</v>
      </c>
      <c r="E233" s="323" t="s">
        <v>201</v>
      </c>
      <c r="F233" s="321" t="s">
        <v>227</v>
      </c>
      <c r="G233" s="322" t="s">
        <v>201</v>
      </c>
      <c r="H233" s="347">
        <v>-64.752446268495191</v>
      </c>
      <c r="I233" s="347">
        <v>-76.921352566977433</v>
      </c>
      <c r="J233" s="347">
        <v>-48.471135107621038</v>
      </c>
      <c r="K233" s="354">
        <v>-64.90069472960009</v>
      </c>
      <c r="L233" s="354">
        <v>-78.953812828172531</v>
      </c>
      <c r="M233" s="354">
        <v>-46.847547151981409</v>
      </c>
      <c r="N233" s="359">
        <v>-46.421027898130895</v>
      </c>
      <c r="O233" s="359">
        <v>-70.902247056050612</v>
      </c>
      <c r="P233" s="359">
        <v>-25.394477775127115</v>
      </c>
      <c r="Q233" s="366">
        <v>0</v>
      </c>
      <c r="R233" s="366">
        <v>0</v>
      </c>
      <c r="S233" s="366">
        <v>0</v>
      </c>
      <c r="T233" s="372">
        <v>-1.1428571428571388</v>
      </c>
      <c r="U233" s="372">
        <v>-8.9365079365079367</v>
      </c>
      <c r="V233" s="372">
        <v>3.8888888888888857</v>
      </c>
      <c r="W233" s="381">
        <v>-6.4285714285714306</v>
      </c>
      <c r="X233" s="381">
        <v>-19.706122448979599</v>
      </c>
      <c r="Y233" s="381">
        <v>2.8956916099773196</v>
      </c>
      <c r="Z233" s="639">
        <v>4.7653292757026264</v>
      </c>
      <c r="AA233" s="639">
        <v>5.0500991206002794</v>
      </c>
      <c r="AB233" s="639">
        <v>90.184571603697094</v>
      </c>
      <c r="AC233" s="61">
        <v>95.234670724297374</v>
      </c>
      <c r="AE233" s="323">
        <v>28.450217459356395</v>
      </c>
      <c r="AF233" s="323">
        <v>32.106265676191121</v>
      </c>
      <c r="AG233" s="323">
        <v>45.507769280923497</v>
      </c>
      <c r="AH233" s="635">
        <v>817.26595887255894</v>
      </c>
    </row>
    <row r="234" spans="1:34" ht="18" customHeight="1" x14ac:dyDescent="0.3">
      <c r="A234" s="41" t="s">
        <v>547</v>
      </c>
      <c r="B234" s="41" t="s">
        <v>577</v>
      </c>
      <c r="C234" s="85" t="s">
        <v>647</v>
      </c>
      <c r="D234" s="85" t="s">
        <v>648</v>
      </c>
      <c r="E234" s="320"/>
      <c r="F234" s="321" t="s">
        <v>188</v>
      </c>
      <c r="G234" s="322" t="s">
        <v>188</v>
      </c>
      <c r="H234" s="347">
        <v>-16.309040515347959</v>
      </c>
      <c r="I234" s="347">
        <v>-21.099284075050534</v>
      </c>
      <c r="J234" s="347">
        <v>-10.328317187967698</v>
      </c>
      <c r="K234" s="354">
        <v>-16.839459337836544</v>
      </c>
      <c r="L234" s="354">
        <v>-28.817953370414145</v>
      </c>
      <c r="M234" s="354">
        <v>-5.8153717553683606</v>
      </c>
      <c r="N234" s="359">
        <v>-7.9169283724337589</v>
      </c>
      <c r="O234" s="359">
        <v>-29.449872535960665</v>
      </c>
      <c r="P234" s="359">
        <v>4.7193870220644385</v>
      </c>
      <c r="Q234" s="366">
        <v>0</v>
      </c>
      <c r="R234" s="366">
        <v>0</v>
      </c>
      <c r="S234" s="366">
        <v>0</v>
      </c>
      <c r="T234" s="372">
        <v>0</v>
      </c>
      <c r="U234" s="372">
        <v>-10.55755635587569</v>
      </c>
      <c r="V234" s="372">
        <v>7.2288915566226422</v>
      </c>
      <c r="W234" s="381">
        <v>-1.4285714285714306</v>
      </c>
      <c r="X234" s="381">
        <v>-18.651193810857677</v>
      </c>
      <c r="Y234" s="381">
        <v>9.0088035214085664</v>
      </c>
      <c r="Z234" s="639">
        <v>62.469139394173595</v>
      </c>
      <c r="AA234" s="639">
        <v>18.564658787100207</v>
      </c>
      <c r="AB234" s="639">
        <v>18.966201818726201</v>
      </c>
      <c r="AC234" s="61">
        <v>37.530860605826405</v>
      </c>
      <c r="AE234" s="323">
        <v>10.770966887082835</v>
      </c>
      <c r="AF234" s="323">
        <v>23.002581615045784</v>
      </c>
      <c r="AG234" s="323">
        <v>34.169259558025104</v>
      </c>
      <c r="AH234" s="635">
        <v>48262.877724485799</v>
      </c>
    </row>
    <row r="235" spans="1:34" ht="18" customHeight="1" x14ac:dyDescent="0.3">
      <c r="A235" s="41" t="s">
        <v>547</v>
      </c>
      <c r="B235" s="328" t="s">
        <v>649</v>
      </c>
      <c r="C235" s="41" t="s">
        <v>650</v>
      </c>
      <c r="D235" s="41" t="s">
        <v>651</v>
      </c>
      <c r="E235" s="323" t="s">
        <v>201</v>
      </c>
      <c r="F235" s="321" t="s">
        <v>743</v>
      </c>
      <c r="G235" s="322" t="s">
        <v>201</v>
      </c>
      <c r="H235" s="347">
        <v>-27.6758429856487</v>
      </c>
      <c r="I235" s="347">
        <v>-40.626760198029729</v>
      </c>
      <c r="J235" s="347">
        <v>-13.953746757873759</v>
      </c>
      <c r="K235" s="354">
        <v>-29.428451761448386</v>
      </c>
      <c r="L235" s="354">
        <v>-44.367294636171756</v>
      </c>
      <c r="M235" s="354">
        <v>-18.092228441442444</v>
      </c>
      <c r="N235" s="359">
        <v>-23.776139705706555</v>
      </c>
      <c r="O235" s="359">
        <v>-40.351340379790962</v>
      </c>
      <c r="P235" s="359">
        <v>-7.4542534426489908</v>
      </c>
      <c r="Q235" s="366">
        <v>0</v>
      </c>
      <c r="R235" s="366">
        <v>0</v>
      </c>
      <c r="S235" s="366">
        <v>0</v>
      </c>
      <c r="T235" s="372">
        <v>-1.8571428571428612</v>
      </c>
      <c r="U235" s="372">
        <v>-9.0597572362278243</v>
      </c>
      <c r="V235" s="372">
        <v>1.3323996265172724</v>
      </c>
      <c r="W235" s="381">
        <v>-7.4285714285714306</v>
      </c>
      <c r="X235" s="381">
        <v>-22.423129251700686</v>
      </c>
      <c r="Y235" s="381">
        <v>-0.18503401360544558</v>
      </c>
      <c r="Z235" s="639">
        <v>36.817847952825289</v>
      </c>
      <c r="AA235" s="639">
        <v>9.9917048930456112</v>
      </c>
      <c r="AB235" s="639">
        <v>53.190447154129103</v>
      </c>
      <c r="AC235" s="61">
        <v>63.182152047174711</v>
      </c>
      <c r="AE235" s="323">
        <v>26.67301344015597</v>
      </c>
      <c r="AF235" s="323">
        <v>26.275066194729312</v>
      </c>
      <c r="AG235" s="323">
        <v>32.897086937141971</v>
      </c>
      <c r="AH235" s="635">
        <v>1907.7737019421402</v>
      </c>
    </row>
    <row r="236" spans="1:34" ht="18" customHeight="1" x14ac:dyDescent="0.3">
      <c r="A236" s="41" t="s">
        <v>547</v>
      </c>
      <c r="B236" s="86" t="s">
        <v>652</v>
      </c>
      <c r="C236" s="86" t="s">
        <v>653</v>
      </c>
      <c r="D236" s="86" t="s">
        <v>654</v>
      </c>
      <c r="E236" s="320"/>
      <c r="F236" s="321" t="s">
        <v>188</v>
      </c>
      <c r="G236" s="322" t="s">
        <v>188</v>
      </c>
      <c r="H236" s="347">
        <v>-11.456324378214219</v>
      </c>
      <c r="I236" s="347">
        <v>-16.215220512525633</v>
      </c>
      <c r="J236" s="347">
        <v>-6.0505190233745907</v>
      </c>
      <c r="K236" s="354">
        <v>-12.616836234128996</v>
      </c>
      <c r="L236" s="354">
        <v>-24.05782883356899</v>
      </c>
      <c r="M236" s="354">
        <v>-3.6521248250045488</v>
      </c>
      <c r="N236" s="359">
        <v>-9.7552322951617043</v>
      </c>
      <c r="O236" s="359">
        <v>-24.904137844926765</v>
      </c>
      <c r="P236" s="359">
        <v>2.3453756452411767</v>
      </c>
      <c r="Q236" s="366">
        <v>0</v>
      </c>
      <c r="R236" s="366">
        <v>0</v>
      </c>
      <c r="S236" s="366">
        <v>0</v>
      </c>
      <c r="T236" s="372">
        <v>-0.1428571428571388</v>
      </c>
      <c r="U236" s="372">
        <v>-8.7126148705095972</v>
      </c>
      <c r="V236" s="372">
        <v>6.7761069340016746</v>
      </c>
      <c r="W236" s="381">
        <v>-3</v>
      </c>
      <c r="X236" s="381">
        <v>-17.13650793650794</v>
      </c>
      <c r="Y236" s="381">
        <v>6.2952380952380906</v>
      </c>
      <c r="Z236" s="639">
        <v>59.775388896917967</v>
      </c>
      <c r="AA236" s="639">
        <v>27.247283148529945</v>
      </c>
      <c r="AB236" s="639">
        <v>12.97732795455209</v>
      </c>
      <c r="AC236" s="61">
        <v>40.224611103082033</v>
      </c>
      <c r="AE236" s="323">
        <v>10.164701489151042</v>
      </c>
      <c r="AF236" s="323">
        <v>20.405704008564442</v>
      </c>
      <c r="AG236" s="323">
        <v>27.249513490167942</v>
      </c>
      <c r="AH236" s="635">
        <v>52321.607866744598</v>
      </c>
    </row>
    <row r="237" spans="1:34" ht="18" customHeight="1" x14ac:dyDescent="0.3">
      <c r="A237" s="41" t="s">
        <v>547</v>
      </c>
      <c r="B237" s="86" t="s">
        <v>574</v>
      </c>
      <c r="C237" s="86" t="s">
        <v>655</v>
      </c>
      <c r="D237" s="86" t="s">
        <v>656</v>
      </c>
      <c r="E237" s="320"/>
      <c r="F237" s="321" t="s">
        <v>188</v>
      </c>
      <c r="G237" s="322" t="s">
        <v>188</v>
      </c>
      <c r="H237" s="347">
        <v>-9.2632129284434512</v>
      </c>
      <c r="I237" s="347">
        <v>-12.599795076431221</v>
      </c>
      <c r="J237" s="347">
        <v>-3.2551470920175234</v>
      </c>
      <c r="K237" s="354">
        <v>-12.854260752900288</v>
      </c>
      <c r="L237" s="354">
        <v>-21.028341303880012</v>
      </c>
      <c r="M237" s="354">
        <v>-3.6568393735488769</v>
      </c>
      <c r="N237" s="359">
        <v>-11.615944349562142</v>
      </c>
      <c r="O237" s="359">
        <v>-26.246194105919841</v>
      </c>
      <c r="P237" s="359">
        <v>2.3537721368537063</v>
      </c>
      <c r="Q237" s="366">
        <v>0</v>
      </c>
      <c r="R237" s="366">
        <v>0</v>
      </c>
      <c r="S237" s="366">
        <v>0</v>
      </c>
      <c r="T237" s="372">
        <v>-0.875</v>
      </c>
      <c r="U237" s="372">
        <v>-6.5277777777777715</v>
      </c>
      <c r="V237" s="372">
        <v>3.4722222222222285</v>
      </c>
      <c r="W237" s="381">
        <v>-6.875</v>
      </c>
      <c r="X237" s="381">
        <v>-19.340102707749764</v>
      </c>
      <c r="Y237" s="381">
        <v>5.9332399626517258</v>
      </c>
      <c r="Z237" s="639">
        <v>70.485006958817706</v>
      </c>
      <c r="AA237" s="639">
        <v>17.100870239403957</v>
      </c>
      <c r="AB237" s="639">
        <v>12.414122801778335</v>
      </c>
      <c r="AC237" s="61">
        <v>29.514993041182294</v>
      </c>
      <c r="AE237" s="323">
        <v>9.3446479844136974</v>
      </c>
      <c r="AF237" s="323">
        <v>17.371501930331135</v>
      </c>
      <c r="AG237" s="323">
        <v>28.599966242773547</v>
      </c>
      <c r="AH237" s="635">
        <v>221357.31206069799</v>
      </c>
    </row>
    <row r="238" spans="1:34" ht="18" customHeight="1" x14ac:dyDescent="0.3">
      <c r="A238" s="41" t="s">
        <v>547</v>
      </c>
      <c r="B238" s="86" t="s">
        <v>574</v>
      </c>
      <c r="C238" s="88" t="s">
        <v>657</v>
      </c>
      <c r="D238" s="88" t="s">
        <v>658</v>
      </c>
      <c r="E238" s="320"/>
      <c r="F238" s="321" t="s">
        <v>188</v>
      </c>
      <c r="G238" s="322" t="s">
        <v>188</v>
      </c>
      <c r="H238" s="347">
        <v>-13.173896437511587</v>
      </c>
      <c r="I238" s="347">
        <v>-18.567639340152795</v>
      </c>
      <c r="J238" s="347">
        <v>-4.8552679512258408</v>
      </c>
      <c r="K238" s="354">
        <v>-16.019245296680268</v>
      </c>
      <c r="L238" s="354">
        <v>-25.387998526622582</v>
      </c>
      <c r="M238" s="354">
        <v>-5.3346093488646744</v>
      </c>
      <c r="N238" s="359">
        <v>-13.878303253332106</v>
      </c>
      <c r="O238" s="359">
        <v>-28.546098945237389</v>
      </c>
      <c r="P238" s="359">
        <v>0.95060334095293797</v>
      </c>
      <c r="Q238" s="366">
        <v>0</v>
      </c>
      <c r="R238" s="366">
        <v>0</v>
      </c>
      <c r="S238" s="366">
        <v>0</v>
      </c>
      <c r="T238" s="372">
        <v>-0.875</v>
      </c>
      <c r="U238" s="372">
        <v>-6.5277777777777715</v>
      </c>
      <c r="V238" s="372">
        <v>3.4722222222222285</v>
      </c>
      <c r="W238" s="381">
        <v>-6.875</v>
      </c>
      <c r="X238" s="381">
        <v>-19.250816993464056</v>
      </c>
      <c r="Y238" s="381">
        <v>5.8439542483660176</v>
      </c>
      <c r="Z238" s="639">
        <v>56.526400705160022</v>
      </c>
      <c r="AA238" s="639">
        <v>28.046606803167272</v>
      </c>
      <c r="AB238" s="639">
        <v>15.426992491672713</v>
      </c>
      <c r="AC238" s="61">
        <v>43.473599294839985</v>
      </c>
      <c r="AE238" s="323">
        <v>13.712371388926954</v>
      </c>
      <c r="AF238" s="323">
        <v>20.053389177757907</v>
      </c>
      <c r="AG238" s="323">
        <v>29.496702286190327</v>
      </c>
      <c r="AH238" s="635">
        <v>75946.58025455811</v>
      </c>
    </row>
    <row r="239" spans="1:34" ht="18" customHeight="1" x14ac:dyDescent="0.3">
      <c r="A239" s="295" t="s">
        <v>547</v>
      </c>
      <c r="B239" s="296" t="s">
        <v>564</v>
      </c>
      <c r="C239" s="295" t="s">
        <v>659</v>
      </c>
      <c r="D239" s="208" t="s">
        <v>660</v>
      </c>
      <c r="E239" s="320"/>
      <c r="F239" s="321" t="s">
        <v>188</v>
      </c>
      <c r="G239" s="322" t="s">
        <v>188</v>
      </c>
      <c r="H239" s="297"/>
      <c r="I239" s="297"/>
      <c r="J239" s="297"/>
      <c r="K239" s="351"/>
      <c r="L239" s="351"/>
      <c r="M239" s="351"/>
      <c r="N239" s="360"/>
      <c r="O239" s="360"/>
      <c r="P239" s="360"/>
      <c r="Q239" s="367"/>
      <c r="R239" s="367"/>
      <c r="S239" s="367"/>
      <c r="T239" s="373"/>
      <c r="U239" s="373"/>
      <c r="V239" s="373"/>
      <c r="W239" s="382"/>
      <c r="X239" s="382"/>
      <c r="Y239" s="382"/>
      <c r="Z239" s="639">
        <v>98.160508708305329</v>
      </c>
      <c r="AA239" s="639">
        <v>0.5307882967293388</v>
      </c>
      <c r="AB239" s="639">
        <v>1.3087029949653357</v>
      </c>
      <c r="AC239" s="61">
        <v>1.8394912916946744</v>
      </c>
      <c r="AH239" s="635">
        <v>68229.371403439101</v>
      </c>
    </row>
    <row r="240" spans="1:34" ht="18" customHeight="1" x14ac:dyDescent="0.3">
      <c r="A240" s="295" t="s">
        <v>547</v>
      </c>
      <c r="B240" s="296" t="s">
        <v>564</v>
      </c>
      <c r="C240" s="295" t="s">
        <v>664</v>
      </c>
      <c r="D240" s="208" t="s">
        <v>665</v>
      </c>
      <c r="E240" s="320"/>
      <c r="F240" s="321" t="s">
        <v>737</v>
      </c>
      <c r="G240" s="322" t="s">
        <v>266</v>
      </c>
      <c r="H240" s="297"/>
      <c r="I240" s="297"/>
      <c r="J240" s="297"/>
      <c r="K240" s="351"/>
      <c r="L240" s="351"/>
      <c r="M240" s="351"/>
      <c r="N240" s="360"/>
      <c r="O240" s="360"/>
      <c r="P240" s="360"/>
      <c r="Q240" s="367"/>
      <c r="R240" s="367"/>
      <c r="S240" s="367"/>
      <c r="T240" s="373"/>
      <c r="U240" s="373"/>
      <c r="V240" s="373"/>
      <c r="W240" s="382"/>
      <c r="X240" s="382"/>
      <c r="Y240" s="382"/>
      <c r="Z240" s="639">
        <v>95.552762233968579</v>
      </c>
      <c r="AA240" s="639">
        <v>0.84004036524681658</v>
      </c>
      <c r="AB240" s="639">
        <v>3.6071974007845982</v>
      </c>
      <c r="AC240" s="61">
        <v>4.4472377660314146</v>
      </c>
      <c r="AH240" s="635">
        <v>21436.2079431948</v>
      </c>
    </row>
    <row r="241" spans="1:34" ht="18" customHeight="1" x14ac:dyDescent="0.3">
      <c r="A241" s="295" t="s">
        <v>547</v>
      </c>
      <c r="B241" s="296" t="s">
        <v>614</v>
      </c>
      <c r="C241" s="295" t="s">
        <v>672</v>
      </c>
      <c r="D241" s="295" t="s">
        <v>673</v>
      </c>
      <c r="E241" s="323" t="s">
        <v>187</v>
      </c>
      <c r="F241" s="321" t="s">
        <v>267</v>
      </c>
      <c r="G241" s="322" t="s">
        <v>187</v>
      </c>
      <c r="N241" s="361"/>
      <c r="O241" s="361"/>
      <c r="P241" s="361"/>
      <c r="Q241" s="298"/>
      <c r="R241" s="298"/>
      <c r="S241" s="298"/>
      <c r="T241" s="300"/>
      <c r="U241" s="300"/>
      <c r="V241" s="300"/>
      <c r="W241" s="383"/>
      <c r="X241" s="383"/>
      <c r="Y241" s="383"/>
      <c r="Z241" s="639">
        <v>73.407172908269857</v>
      </c>
      <c r="AA241" s="639">
        <v>16.672833881979397</v>
      </c>
      <c r="AB241" s="639">
        <v>9.9199932097507428</v>
      </c>
      <c r="AC241" s="61">
        <v>26.59282709173014</v>
      </c>
      <c r="AH241" s="635">
        <v>152179.08015676998</v>
      </c>
    </row>
    <row r="242" spans="1:34" ht="18" customHeight="1" x14ac:dyDescent="0.3">
      <c r="A242" s="295" t="s">
        <v>547</v>
      </c>
      <c r="B242" s="326" t="s">
        <v>587</v>
      </c>
      <c r="C242" s="295" t="s">
        <v>686</v>
      </c>
      <c r="D242" s="295" t="s">
        <v>687</v>
      </c>
      <c r="E242" s="323" t="s">
        <v>201</v>
      </c>
      <c r="F242" s="321" t="s">
        <v>737</v>
      </c>
      <c r="G242" s="322" t="s">
        <v>267</v>
      </c>
      <c r="N242" s="361"/>
      <c r="O242" s="361"/>
      <c r="P242" s="361"/>
      <c r="Q242" s="298"/>
      <c r="R242" s="298"/>
      <c r="S242" s="298"/>
      <c r="T242" s="300"/>
      <c r="U242" s="300"/>
      <c r="V242" s="300"/>
      <c r="W242" s="383"/>
      <c r="X242" s="383"/>
      <c r="Y242" s="383"/>
      <c r="Z242" s="639">
        <v>57.295211049335961</v>
      </c>
      <c r="AA242" s="639">
        <v>21.045589780270987</v>
      </c>
      <c r="AB242" s="639">
        <v>21.659199170393055</v>
      </c>
      <c r="AC242" s="61">
        <v>42.704788950664039</v>
      </c>
      <c r="AH242" s="635">
        <v>19209.877847263499</v>
      </c>
    </row>
    <row r="243" spans="1:34" ht="18" customHeight="1" x14ac:dyDescent="0.3">
      <c r="A243" s="295" t="s">
        <v>547</v>
      </c>
      <c r="B243" s="208" t="s">
        <v>580</v>
      </c>
      <c r="C243" s="208" t="s">
        <v>666</v>
      </c>
      <c r="D243" s="208" t="s">
        <v>667</v>
      </c>
      <c r="E243" s="320"/>
      <c r="F243" s="321" t="s">
        <v>188</v>
      </c>
      <c r="G243" s="322" t="s">
        <v>188</v>
      </c>
      <c r="H243" s="297"/>
      <c r="I243" s="297"/>
      <c r="J243" s="297"/>
      <c r="K243" s="351"/>
      <c r="L243" s="351"/>
      <c r="M243" s="351"/>
      <c r="N243" s="360"/>
      <c r="O243" s="360"/>
      <c r="P243" s="360"/>
      <c r="Q243" s="367"/>
      <c r="R243" s="367"/>
      <c r="S243" s="367"/>
      <c r="T243" s="373"/>
      <c r="U243" s="373"/>
      <c r="V243" s="373"/>
      <c r="W243" s="382"/>
      <c r="X243" s="382"/>
      <c r="Y243" s="382"/>
      <c r="Z243" s="639">
        <v>81.668819140643194</v>
      </c>
      <c r="AA243" s="639">
        <v>10.437445286961708</v>
      </c>
      <c r="AB243" s="639">
        <v>7.8937355723950997</v>
      </c>
      <c r="AC243" s="61">
        <v>18.331180859356806</v>
      </c>
      <c r="AH243" s="635">
        <v>34149.074435996103</v>
      </c>
    </row>
    <row r="244" spans="1:34" ht="18" customHeight="1" x14ac:dyDescent="0.3">
      <c r="A244" s="295" t="s">
        <v>547</v>
      </c>
      <c r="B244" s="208" t="s">
        <v>614</v>
      </c>
      <c r="C244" s="295" t="s">
        <v>670</v>
      </c>
      <c r="D244" s="295" t="s">
        <v>671</v>
      </c>
      <c r="E244" s="320"/>
      <c r="F244" s="321" t="s">
        <v>188</v>
      </c>
      <c r="G244" s="322" t="s">
        <v>188</v>
      </c>
      <c r="N244" s="361"/>
      <c r="O244" s="361"/>
      <c r="P244" s="361"/>
      <c r="Q244" s="298"/>
      <c r="R244" s="298"/>
      <c r="S244" s="298"/>
      <c r="T244" s="300"/>
      <c r="U244" s="300"/>
      <c r="V244" s="300"/>
      <c r="W244" s="383"/>
      <c r="X244" s="383"/>
      <c r="Y244" s="383"/>
      <c r="Z244" s="639">
        <v>77.792414576265273</v>
      </c>
      <c r="AA244" s="639">
        <v>13.226578297029704</v>
      </c>
      <c r="AB244" s="639">
        <v>8.981007126705018</v>
      </c>
      <c r="AC244" s="61">
        <v>22.20758542373472</v>
      </c>
      <c r="AH244" s="635">
        <v>308145.55314579402</v>
      </c>
    </row>
    <row r="245" spans="1:34" ht="18" customHeight="1" x14ac:dyDescent="0.3">
      <c r="A245" s="41" t="s">
        <v>547</v>
      </c>
      <c r="B245" s="86" t="s">
        <v>577</v>
      </c>
      <c r="C245" s="88" t="s">
        <v>676</v>
      </c>
      <c r="D245" s="88" t="s">
        <v>677</v>
      </c>
      <c r="E245" s="320"/>
      <c r="F245" s="321" t="s">
        <v>188</v>
      </c>
      <c r="G245" s="322" t="s">
        <v>188</v>
      </c>
      <c r="H245" s="348"/>
      <c r="I245" s="348"/>
      <c r="J245" s="348"/>
      <c r="K245" s="355"/>
      <c r="L245" s="355"/>
      <c r="M245" s="355"/>
      <c r="N245" s="362"/>
      <c r="O245" s="362"/>
      <c r="P245" s="362"/>
      <c r="Q245" s="368"/>
      <c r="R245" s="368"/>
      <c r="S245" s="368"/>
      <c r="T245" s="374"/>
      <c r="U245" s="374"/>
      <c r="V245" s="374"/>
      <c r="W245" s="384"/>
      <c r="X245" s="384"/>
      <c r="Y245" s="384"/>
      <c r="Z245" s="639">
        <v>69.210968426336876</v>
      </c>
      <c r="AA245" s="639">
        <v>17.630564360804392</v>
      </c>
      <c r="AB245" s="639">
        <v>13.158467212858744</v>
      </c>
      <c r="AC245" s="61">
        <v>30.789031573663138</v>
      </c>
      <c r="AH245" s="635">
        <v>212878.31368739402</v>
      </c>
    </row>
    <row r="246" spans="1:34" ht="18" customHeight="1" x14ac:dyDescent="0.3">
      <c r="A246" s="41" t="s">
        <v>547</v>
      </c>
      <c r="B246" s="41" t="s">
        <v>580</v>
      </c>
      <c r="C246" s="86" t="s">
        <v>678</v>
      </c>
      <c r="D246" s="86" t="s">
        <v>679</v>
      </c>
      <c r="E246" s="320"/>
      <c r="F246" s="321" t="s">
        <v>188</v>
      </c>
      <c r="G246" s="322" t="s">
        <v>188</v>
      </c>
      <c r="H246" s="297"/>
      <c r="I246" s="297"/>
      <c r="J246" s="297"/>
      <c r="K246" s="351"/>
      <c r="L246" s="351"/>
      <c r="M246" s="351"/>
      <c r="N246" s="360"/>
      <c r="O246" s="360"/>
      <c r="P246" s="360"/>
      <c r="Q246" s="367"/>
      <c r="R246" s="367"/>
      <c r="S246" s="367"/>
      <c r="T246" s="373"/>
      <c r="U246" s="373"/>
      <c r="V246" s="373"/>
      <c r="W246" s="382"/>
      <c r="X246" s="382"/>
      <c r="Y246" s="382"/>
      <c r="Z246" s="639">
        <v>57.263288157914523</v>
      </c>
      <c r="AA246" s="639">
        <v>29.042044668357686</v>
      </c>
      <c r="AB246" s="639">
        <v>13.694667173727787</v>
      </c>
      <c r="AC246" s="61">
        <v>42.736711842085469</v>
      </c>
      <c r="AH246" s="635">
        <v>50395.385980862295</v>
      </c>
    </row>
    <row r="247" spans="1:34" ht="18" customHeight="1" x14ac:dyDescent="0.3">
      <c r="A247" s="41" t="s">
        <v>547</v>
      </c>
      <c r="B247" s="86" t="s">
        <v>574</v>
      </c>
      <c r="C247" s="86" t="s">
        <v>668</v>
      </c>
      <c r="D247" s="86" t="s">
        <v>669</v>
      </c>
      <c r="E247" s="320"/>
      <c r="F247" s="321" t="s">
        <v>188</v>
      </c>
      <c r="G247" s="322" t="s">
        <v>188</v>
      </c>
      <c r="H247" s="297"/>
      <c r="I247" s="297"/>
      <c r="J247" s="297"/>
      <c r="K247" s="351"/>
      <c r="L247" s="351"/>
      <c r="M247" s="351"/>
      <c r="N247" s="360"/>
      <c r="O247" s="360"/>
      <c r="P247" s="360"/>
      <c r="Q247" s="367"/>
      <c r="R247" s="367"/>
      <c r="S247" s="367"/>
      <c r="T247" s="373"/>
      <c r="U247" s="373"/>
      <c r="V247" s="373"/>
      <c r="W247" s="382"/>
      <c r="X247" s="382"/>
      <c r="Y247" s="382"/>
      <c r="Z247" s="639">
        <v>79.182843013422954</v>
      </c>
      <c r="AA247" s="639">
        <v>12.070900432556915</v>
      </c>
      <c r="AB247" s="639">
        <v>8.74625655402013</v>
      </c>
      <c r="AC247" s="61">
        <v>20.817156986577046</v>
      </c>
      <c r="AH247" s="635">
        <v>339116.83046292997</v>
      </c>
    </row>
    <row r="248" spans="1:34" ht="18" customHeight="1" x14ac:dyDescent="0.3">
      <c r="A248" s="41" t="s">
        <v>547</v>
      </c>
      <c r="B248" s="86" t="s">
        <v>680</v>
      </c>
      <c r="C248" s="88" t="s">
        <v>681</v>
      </c>
      <c r="D248" s="88" t="s">
        <v>682</v>
      </c>
      <c r="E248" s="320"/>
      <c r="F248" s="321" t="s">
        <v>188</v>
      </c>
      <c r="G248" s="322" t="s">
        <v>188</v>
      </c>
      <c r="H248" s="348"/>
      <c r="I248" s="348"/>
      <c r="J248" s="348"/>
      <c r="K248" s="355"/>
      <c r="L248" s="355"/>
      <c r="M248" s="355"/>
      <c r="N248" s="362"/>
      <c r="O248" s="362"/>
      <c r="P248" s="362"/>
      <c r="Q248" s="368"/>
      <c r="R248" s="368"/>
      <c r="S248" s="368"/>
      <c r="T248" s="374"/>
      <c r="U248" s="374"/>
      <c r="V248" s="374"/>
      <c r="W248" s="384"/>
      <c r="X248" s="384"/>
      <c r="Y248" s="384"/>
      <c r="Z248" s="639">
        <v>70.280009592012149</v>
      </c>
      <c r="AA248" s="639">
        <v>15.952255139718268</v>
      </c>
      <c r="AB248" s="639">
        <v>13.767735268269595</v>
      </c>
      <c r="AC248" s="61">
        <v>29.719990407987865</v>
      </c>
      <c r="AH248" s="635">
        <v>147796.05347612299</v>
      </c>
    </row>
    <row r="249" spans="1:34" ht="18" customHeight="1" x14ac:dyDescent="0.3">
      <c r="A249" s="41" t="s">
        <v>547</v>
      </c>
      <c r="B249" s="86" t="s">
        <v>580</v>
      </c>
      <c r="C249" s="86" t="s">
        <v>674</v>
      </c>
      <c r="D249" s="86" t="s">
        <v>675</v>
      </c>
      <c r="E249" s="320"/>
      <c r="F249" s="321" t="s">
        <v>188</v>
      </c>
      <c r="G249" s="322" t="s">
        <v>188</v>
      </c>
      <c r="H249" s="297"/>
      <c r="I249" s="297"/>
      <c r="J249" s="297"/>
      <c r="K249" s="351"/>
      <c r="L249" s="351"/>
      <c r="M249" s="351"/>
      <c r="N249" s="360"/>
      <c r="O249" s="360"/>
      <c r="P249" s="360"/>
      <c r="Q249" s="367"/>
      <c r="R249" s="367"/>
      <c r="S249" s="367"/>
      <c r="T249" s="373"/>
      <c r="U249" s="373"/>
      <c r="V249" s="373"/>
      <c r="W249" s="382"/>
      <c r="X249" s="382"/>
      <c r="Y249" s="382"/>
      <c r="Z249" s="639">
        <v>71.003393725822576</v>
      </c>
      <c r="AA249" s="639">
        <v>16.756012877671843</v>
      </c>
      <c r="AB249" s="639">
        <v>12.240593396505577</v>
      </c>
      <c r="AC249" s="61">
        <v>28.99660627417742</v>
      </c>
      <c r="AH249" s="635">
        <v>205614.995390642</v>
      </c>
    </row>
    <row r="250" spans="1:34" ht="18" customHeight="1" x14ac:dyDescent="0.3">
      <c r="A250" s="146" t="s">
        <v>756</v>
      </c>
      <c r="B250" s="147" t="s">
        <v>757</v>
      </c>
      <c r="C250" s="147" t="s">
        <v>770</v>
      </c>
      <c r="D250" s="333" t="s">
        <v>771</v>
      </c>
      <c r="E250" s="331"/>
      <c r="F250" s="332" t="s">
        <v>188</v>
      </c>
      <c r="G250" s="332"/>
      <c r="H250" s="347">
        <v>-14.199964037043912</v>
      </c>
      <c r="I250" s="347">
        <v>-22.318713363813117</v>
      </c>
      <c r="J250" s="347">
        <v>-5.8213769246732596</v>
      </c>
      <c r="K250" s="115">
        <v>-12.110558904677376</v>
      </c>
      <c r="L250" s="115">
        <v>-27.127147405302836</v>
      </c>
      <c r="M250" s="115">
        <v>3.1063164242241186</v>
      </c>
      <c r="N250" s="359">
        <v>-5.6325359469506395</v>
      </c>
      <c r="O250" s="359">
        <v>-27.072021684109473</v>
      </c>
      <c r="P250" s="359">
        <v>14.75689306551844</v>
      </c>
      <c r="Q250" s="366">
        <v>0</v>
      </c>
      <c r="R250" s="366">
        <v>0</v>
      </c>
      <c r="S250" s="366">
        <v>0</v>
      </c>
      <c r="T250" s="372">
        <v>0</v>
      </c>
      <c r="U250" s="372">
        <v>-10.671187773354958</v>
      </c>
      <c r="V250" s="372">
        <v>9.2997592019263919</v>
      </c>
      <c r="W250" s="381">
        <v>0</v>
      </c>
      <c r="X250" s="381">
        <v>-17.980060040210418</v>
      </c>
      <c r="Y250" s="381">
        <v>19.23120989286403</v>
      </c>
      <c r="Z250" s="643">
        <v>55.718090212619458</v>
      </c>
      <c r="AA250" s="639">
        <v>31.93419783383473</v>
      </c>
      <c r="AB250" s="639">
        <v>12.347711953545808</v>
      </c>
      <c r="AC250" s="61">
        <v>44.281909787380542</v>
      </c>
      <c r="AE250" s="323">
        <v>16.497336439139858</v>
      </c>
      <c r="AF250" s="323">
        <v>30.233463829526954</v>
      </c>
      <c r="AG250" s="323">
        <v>41.828914749627913</v>
      </c>
      <c r="AH250" s="635">
        <v>18219.2646611895</v>
      </c>
    </row>
    <row r="251" spans="1:34" ht="18" customHeight="1" x14ac:dyDescent="0.3">
      <c r="A251" s="146" t="s">
        <v>756</v>
      </c>
      <c r="B251" s="109" t="s">
        <v>757</v>
      </c>
      <c r="C251" s="311" t="s">
        <v>795</v>
      </c>
      <c r="D251" s="311" t="s">
        <v>796</v>
      </c>
      <c r="E251" s="334" t="s">
        <v>187</v>
      </c>
      <c r="F251" s="335" t="s">
        <v>188</v>
      </c>
      <c r="G251" s="335"/>
      <c r="H251" s="347">
        <v>-4.9989062746625876</v>
      </c>
      <c r="I251" s="347">
        <v>-8.7280379736213831</v>
      </c>
      <c r="J251" s="347">
        <v>-1.1211799495024195</v>
      </c>
      <c r="K251" s="115">
        <v>-4.4828376973193258</v>
      </c>
      <c r="L251" s="115">
        <v>-16.347552034079882</v>
      </c>
      <c r="M251" s="115">
        <v>5.4269940410501647</v>
      </c>
      <c r="N251" s="359">
        <v>-3.4416646580788637</v>
      </c>
      <c r="O251" s="359">
        <v>-20.593784741370442</v>
      </c>
      <c r="P251" s="359">
        <v>11.428193886304186</v>
      </c>
      <c r="Q251" s="366">
        <v>0</v>
      </c>
      <c r="R251" s="366">
        <v>0</v>
      </c>
      <c r="S251" s="366">
        <v>0</v>
      </c>
      <c r="T251" s="372">
        <v>0</v>
      </c>
      <c r="U251" s="372">
        <v>-9.5600766622438442</v>
      </c>
      <c r="V251" s="372">
        <v>8.1886480908152777</v>
      </c>
      <c r="W251" s="381">
        <v>-1.4285714285714306</v>
      </c>
      <c r="X251" s="381">
        <v>-16.446308077887025</v>
      </c>
      <c r="Y251" s="381">
        <v>12.9261615577405</v>
      </c>
      <c r="Z251" s="643">
        <v>80.094579698965674</v>
      </c>
      <c r="AA251" s="639">
        <v>16.008634490017872</v>
      </c>
      <c r="AB251" s="639">
        <v>3.896785811016453</v>
      </c>
      <c r="AC251" s="61">
        <v>19.905420301034326</v>
      </c>
      <c r="AE251" s="323">
        <v>7.6068580241189636</v>
      </c>
      <c r="AF251" s="323">
        <v>21.774546075130047</v>
      </c>
      <c r="AG251" s="323">
        <v>32.021978627674628</v>
      </c>
      <c r="AH251" s="635">
        <v>4220.6100420639605</v>
      </c>
    </row>
    <row r="252" spans="1:34" ht="18" customHeight="1" x14ac:dyDescent="0.3">
      <c r="A252" s="146" t="s">
        <v>756</v>
      </c>
      <c r="B252" s="109" t="s">
        <v>757</v>
      </c>
      <c r="C252" s="109" t="s">
        <v>760</v>
      </c>
      <c r="D252" s="109" t="s">
        <v>761</v>
      </c>
      <c r="E252" s="334" t="s">
        <v>201</v>
      </c>
      <c r="F252" s="335" t="s">
        <v>201</v>
      </c>
      <c r="G252" s="335"/>
      <c r="H252" s="347">
        <v>-20.386673091420107</v>
      </c>
      <c r="I252" s="347">
        <v>-26.279027983672947</v>
      </c>
      <c r="J252" s="347">
        <v>-9.396623661696907</v>
      </c>
      <c r="K252" s="115">
        <v>-24.830938329404049</v>
      </c>
      <c r="L252" s="115">
        <v>-42.44611330224101</v>
      </c>
      <c r="M252" s="115">
        <v>-7.1035429075773067</v>
      </c>
      <c r="N252" s="359">
        <v>-27.995439828777819</v>
      </c>
      <c r="O252" s="359">
        <v>-50.482975465443467</v>
      </c>
      <c r="P252" s="359">
        <v>-6.3094986951045371</v>
      </c>
      <c r="Q252" s="366">
        <v>0</v>
      </c>
      <c r="R252" s="366">
        <v>0</v>
      </c>
      <c r="S252" s="366">
        <v>0</v>
      </c>
      <c r="T252" s="372">
        <v>-6.25</v>
      </c>
      <c r="U252" s="372">
        <v>-22.682422969187684</v>
      </c>
      <c r="V252" s="372">
        <v>3.2181372549019613</v>
      </c>
      <c r="W252" s="381">
        <v>-18.75</v>
      </c>
      <c r="X252" s="381">
        <v>-37.296794871794873</v>
      </c>
      <c r="Y252" s="381">
        <v>-1.9903846153846132</v>
      </c>
      <c r="Z252" s="643">
        <v>69.26490350823228</v>
      </c>
      <c r="AA252" s="639">
        <v>4.1005644988865013</v>
      </c>
      <c r="AB252" s="639">
        <v>26.634531992881222</v>
      </c>
      <c r="AC252" s="61">
        <v>30.735096491767724</v>
      </c>
      <c r="AE252" s="323">
        <v>16.88240432197604</v>
      </c>
      <c r="AF252" s="323">
        <v>35.342570394663703</v>
      </c>
      <c r="AG252" s="323">
        <v>44.173476770338929</v>
      </c>
      <c r="AH252" s="635">
        <v>1318.44203802686</v>
      </c>
    </row>
    <row r="253" spans="1:34" ht="18" customHeight="1" x14ac:dyDescent="0.3">
      <c r="A253" s="146" t="s">
        <v>756</v>
      </c>
      <c r="B253" s="147" t="s">
        <v>763</v>
      </c>
      <c r="C253" s="147" t="s">
        <v>764</v>
      </c>
      <c r="D253" s="333" t="s">
        <v>765</v>
      </c>
      <c r="E253" s="331"/>
      <c r="F253" s="332" t="s">
        <v>188</v>
      </c>
      <c r="G253" s="332"/>
      <c r="H253" s="347">
        <v>-19.56148434903443</v>
      </c>
      <c r="I253" s="347">
        <v>-37.398402686569945</v>
      </c>
      <c r="J253" s="347">
        <v>-8.1582196704858916</v>
      </c>
      <c r="K253" s="115">
        <v>-16.949369973181732</v>
      </c>
      <c r="L253" s="115">
        <v>-40.544903180639864</v>
      </c>
      <c r="M253" s="115">
        <v>-3.4352180788762325</v>
      </c>
      <c r="N253" s="359">
        <v>-7.0738854653030216</v>
      </c>
      <c r="O253" s="359">
        <v>-34.437324888280173</v>
      </c>
      <c r="P253" s="359">
        <v>5.0681640246504855</v>
      </c>
      <c r="Q253" s="366">
        <v>0</v>
      </c>
      <c r="R253" s="366">
        <v>0</v>
      </c>
      <c r="S253" s="366">
        <v>0</v>
      </c>
      <c r="T253" s="372">
        <v>0</v>
      </c>
      <c r="U253" s="372">
        <v>-8.6080298786181118</v>
      </c>
      <c r="V253" s="372">
        <v>4.5445378151260485</v>
      </c>
      <c r="W253" s="381">
        <v>0</v>
      </c>
      <c r="X253" s="381">
        <v>-14.100122100122093</v>
      </c>
      <c r="Y253" s="381">
        <v>8.6153846153846132</v>
      </c>
      <c r="Z253" s="643">
        <v>47.576952668417817</v>
      </c>
      <c r="AA253" s="639">
        <v>26.527853341215419</v>
      </c>
      <c r="AB253" s="639">
        <v>25.89519399036676</v>
      </c>
      <c r="AC253" s="61">
        <v>52.423047331582183</v>
      </c>
      <c r="AE253" s="323">
        <v>29.240183016084053</v>
      </c>
      <c r="AF253" s="323">
        <v>37.109685101763631</v>
      </c>
      <c r="AG253" s="323">
        <v>39.505488912930659</v>
      </c>
      <c r="AH253" s="635">
        <v>16357.1417741611</v>
      </c>
    </row>
    <row r="254" spans="1:34" ht="18" customHeight="1" x14ac:dyDescent="0.3">
      <c r="A254" s="146" t="s">
        <v>756</v>
      </c>
      <c r="B254" s="311" t="s">
        <v>757</v>
      </c>
      <c r="C254" s="146" t="s">
        <v>811</v>
      </c>
      <c r="D254" s="336" t="s">
        <v>817</v>
      </c>
      <c r="E254" s="322"/>
      <c r="F254" s="321" t="s">
        <v>188</v>
      </c>
      <c r="G254" s="321"/>
      <c r="H254" s="347">
        <v>-2.1751550334287799</v>
      </c>
      <c r="I254" s="347">
        <v>-4.9807789404500085</v>
      </c>
      <c r="J254" s="347">
        <v>-0.47754785162237567</v>
      </c>
      <c r="K254" s="115">
        <v>-3.4251550334287799</v>
      </c>
      <c r="L254" s="115">
        <v>-16.782416123126708</v>
      </c>
      <c r="M254" s="115">
        <v>2.5358387308730812</v>
      </c>
      <c r="N254" s="359">
        <v>-2.912913337585266</v>
      </c>
      <c r="O254" s="359">
        <v>-16.252596175945044</v>
      </c>
      <c r="P254" s="359">
        <v>4.2924849900115873</v>
      </c>
      <c r="Q254" s="366">
        <v>0</v>
      </c>
      <c r="R254" s="366">
        <v>0</v>
      </c>
      <c r="S254" s="366">
        <v>0</v>
      </c>
      <c r="T254" s="372">
        <v>-1.25</v>
      </c>
      <c r="U254" s="372">
        <v>-12.732026143790847</v>
      </c>
      <c r="V254" s="372">
        <v>2.9820261437908471</v>
      </c>
      <c r="W254" s="381">
        <v>-1.875</v>
      </c>
      <c r="X254" s="381">
        <v>-13.968783667313076</v>
      </c>
      <c r="Y254" s="381">
        <v>4.4461951447245553</v>
      </c>
      <c r="Z254" s="643">
        <v>85.377413992128481</v>
      </c>
      <c r="AA254" s="643">
        <v>9.0275418674135945</v>
      </c>
      <c r="AB254" s="643">
        <v>5.595044140457917</v>
      </c>
      <c r="AC254" s="61">
        <v>14.622586007871512</v>
      </c>
      <c r="AE254" s="323">
        <v>4.5032310888276328</v>
      </c>
      <c r="AF254" s="323">
        <v>19.31825485399979</v>
      </c>
      <c r="AG254" s="323">
        <v>20.545081165956631</v>
      </c>
      <c r="AH254" s="635">
        <v>289385.19332704099</v>
      </c>
    </row>
    <row r="255" spans="1:34" ht="18" customHeight="1" x14ac:dyDescent="0.3">
      <c r="A255" s="146" t="s">
        <v>756</v>
      </c>
      <c r="B255" s="311" t="s">
        <v>757</v>
      </c>
      <c r="C255" s="146" t="s">
        <v>811</v>
      </c>
      <c r="D255" s="336" t="s">
        <v>822</v>
      </c>
      <c r="E255" s="322"/>
      <c r="F255" s="321" t="s">
        <v>192</v>
      </c>
      <c r="G255" s="321"/>
      <c r="H255" s="347">
        <v>-1.8443751472565424</v>
      </c>
      <c r="I255" s="347">
        <v>-4.4540498710373981</v>
      </c>
      <c r="J255" s="347">
        <v>-0.35814061856841306</v>
      </c>
      <c r="K255" s="115">
        <v>-3.0943751472565566</v>
      </c>
      <c r="L255" s="115">
        <v>-16.275289122222233</v>
      </c>
      <c r="M255" s="115">
        <v>2.6539708480897843</v>
      </c>
      <c r="N255" s="359">
        <v>-2.7320154284815459</v>
      </c>
      <c r="O255" s="359">
        <v>-15.887915066410272</v>
      </c>
      <c r="P255" s="359">
        <v>4.416976537232685</v>
      </c>
      <c r="Q255" s="366">
        <v>0</v>
      </c>
      <c r="R255" s="366">
        <v>0</v>
      </c>
      <c r="S255" s="366">
        <v>0</v>
      </c>
      <c r="T255" s="372">
        <v>-1.25</v>
      </c>
      <c r="U255" s="372">
        <v>-12.732026143790847</v>
      </c>
      <c r="V255" s="372">
        <v>2.9820261437908471</v>
      </c>
      <c r="W255" s="381">
        <v>-1.875</v>
      </c>
      <c r="X255" s="381">
        <v>-13.968783667313076</v>
      </c>
      <c r="Y255" s="381">
        <v>4.4461951447245553</v>
      </c>
      <c r="Z255" s="643">
        <v>86.422450652185844</v>
      </c>
      <c r="AA255" s="643">
        <v>9.6020370285169871</v>
      </c>
      <c r="AB255" s="643">
        <v>3.9755123192971658</v>
      </c>
      <c r="AC255" s="61">
        <v>13.577549347814152</v>
      </c>
      <c r="AE255" s="323">
        <v>4.0959092524689851</v>
      </c>
      <c r="AF255" s="323">
        <v>18.929259970312017</v>
      </c>
      <c r="AG255" s="323">
        <v>20.304891603642957</v>
      </c>
      <c r="AH255" s="635">
        <v>102420.86667504201</v>
      </c>
    </row>
    <row r="256" spans="1:34" ht="18" customHeight="1" x14ac:dyDescent="0.3">
      <c r="A256" s="146" t="s">
        <v>756</v>
      </c>
      <c r="B256" s="311" t="s">
        <v>757</v>
      </c>
      <c r="C256" s="146" t="s">
        <v>811</v>
      </c>
      <c r="D256" s="336" t="s">
        <v>812</v>
      </c>
      <c r="E256" s="322"/>
      <c r="F256" s="321" t="s">
        <v>192</v>
      </c>
      <c r="G256" s="321"/>
      <c r="H256" s="347">
        <v>-3.4452750671682111</v>
      </c>
      <c r="I256" s="347">
        <v>-8.2368490743590712</v>
      </c>
      <c r="J256" s="347">
        <v>-0.68589041795786443</v>
      </c>
      <c r="K256" s="115">
        <v>-4.6952750671682111</v>
      </c>
      <c r="L256" s="115">
        <v>-19.311527797942688</v>
      </c>
      <c r="M256" s="115">
        <v>2.3510736951567139</v>
      </c>
      <c r="N256" s="359">
        <v>-3.4842202290199964</v>
      </c>
      <c r="O256" s="359">
        <v>-17.559975060419333</v>
      </c>
      <c r="P256" s="359">
        <v>4.3551172520398893</v>
      </c>
      <c r="Q256" s="366">
        <v>0</v>
      </c>
      <c r="R256" s="366">
        <v>0</v>
      </c>
      <c r="S256" s="366">
        <v>0</v>
      </c>
      <c r="T256" s="372">
        <v>-1.25</v>
      </c>
      <c r="U256" s="372">
        <v>-12.732026143790847</v>
      </c>
      <c r="V256" s="372">
        <v>2.9820261437908471</v>
      </c>
      <c r="W256" s="381">
        <v>-1.875</v>
      </c>
      <c r="X256" s="381">
        <v>-13.968783667313076</v>
      </c>
      <c r="Y256" s="381">
        <v>4.4461951447245553</v>
      </c>
      <c r="Z256" s="643">
        <v>75.062698504677428</v>
      </c>
      <c r="AA256" s="643">
        <v>17.233628090232365</v>
      </c>
      <c r="AB256" s="643">
        <v>7.7036734050902016</v>
      </c>
      <c r="AC256" s="61">
        <v>24.937301495322565</v>
      </c>
      <c r="AE256" s="323">
        <v>7.5509586564012068</v>
      </c>
      <c r="AF256" s="323">
        <v>21.662601493099402</v>
      </c>
      <c r="AG256" s="323">
        <v>21.915092312459223</v>
      </c>
      <c r="AH256" s="635">
        <v>12861.195933625</v>
      </c>
    </row>
    <row r="257" spans="1:34" ht="18" customHeight="1" x14ac:dyDescent="0.3">
      <c r="A257" s="146" t="s">
        <v>756</v>
      </c>
      <c r="B257" s="311" t="s">
        <v>757</v>
      </c>
      <c r="C257" s="146" t="s">
        <v>811</v>
      </c>
      <c r="D257" s="336" t="s">
        <v>821</v>
      </c>
      <c r="E257" s="322"/>
      <c r="F257" s="321" t="s">
        <v>192</v>
      </c>
      <c r="G257" s="321"/>
      <c r="H257" s="347">
        <v>-1.9706599153878415</v>
      </c>
      <c r="I257" s="347">
        <v>-4.4269474779752755</v>
      </c>
      <c r="J257" s="347">
        <v>-0.45000423211214979</v>
      </c>
      <c r="K257" s="115">
        <v>-3.2206599153878415</v>
      </c>
      <c r="L257" s="115">
        <v>-16.361260487985362</v>
      </c>
      <c r="M257" s="115">
        <v>2.5591381477487545</v>
      </c>
      <c r="N257" s="359">
        <v>-2.8238879415860225</v>
      </c>
      <c r="O257" s="359">
        <v>-16.044330958372925</v>
      </c>
      <c r="P257" s="359">
        <v>4.2694322242750218</v>
      </c>
      <c r="Q257" s="366">
        <v>0</v>
      </c>
      <c r="R257" s="366">
        <v>0</v>
      </c>
      <c r="S257" s="366">
        <v>0</v>
      </c>
      <c r="T257" s="372">
        <v>-1.25</v>
      </c>
      <c r="U257" s="372">
        <v>-12.732026143790847</v>
      </c>
      <c r="V257" s="372">
        <v>2.9820261437908471</v>
      </c>
      <c r="W257" s="381">
        <v>-1.875</v>
      </c>
      <c r="X257" s="381">
        <v>-13.968783667313076</v>
      </c>
      <c r="Y257" s="381">
        <v>4.4461951447245553</v>
      </c>
      <c r="Z257" s="643">
        <v>87.189297424552663</v>
      </c>
      <c r="AA257" s="643">
        <v>7.4565700610845003</v>
      </c>
      <c r="AB257" s="643">
        <v>5.3541325143628402</v>
      </c>
      <c r="AC257" s="61">
        <v>12.81070257544734</v>
      </c>
      <c r="AE257" s="323">
        <v>3.9769432458631258</v>
      </c>
      <c r="AF257" s="323">
        <v>18.920398635734117</v>
      </c>
      <c r="AG257" s="323">
        <v>20.313763182647946</v>
      </c>
      <c r="AH257" s="635">
        <v>234723.74314950602</v>
      </c>
    </row>
    <row r="258" spans="1:34" ht="18" customHeight="1" x14ac:dyDescent="0.3">
      <c r="A258" s="146" t="s">
        <v>756</v>
      </c>
      <c r="B258" s="147" t="s">
        <v>757</v>
      </c>
      <c r="C258" s="147" t="s">
        <v>788</v>
      </c>
      <c r="D258" s="147" t="s">
        <v>789</v>
      </c>
      <c r="E258" s="331"/>
      <c r="F258" s="332" t="s">
        <v>346</v>
      </c>
      <c r="G258" s="331" t="s">
        <v>790</v>
      </c>
      <c r="H258" s="347">
        <v>-7.2099129022079467</v>
      </c>
      <c r="I258" s="347">
        <v>-25.046696497658715</v>
      </c>
      <c r="J258" s="347">
        <v>-1.0294058496630782</v>
      </c>
      <c r="K258" s="115">
        <v>-10.233919328755874</v>
      </c>
      <c r="L258" s="115">
        <v>-34.767777630234278</v>
      </c>
      <c r="M258" s="115">
        <v>0.49239923326165069</v>
      </c>
      <c r="N258" s="359">
        <v>-11.309895560029233</v>
      </c>
      <c r="O258" s="359">
        <v>-38.300539722824517</v>
      </c>
      <c r="P258" s="359">
        <v>4.8235348848336912</v>
      </c>
      <c r="Q258" s="366">
        <v>0</v>
      </c>
      <c r="R258" s="366">
        <v>0</v>
      </c>
      <c r="S258" s="366">
        <v>0</v>
      </c>
      <c r="T258" s="372">
        <v>-3.5714285714285694</v>
      </c>
      <c r="U258" s="372">
        <v>-13.900093370681603</v>
      </c>
      <c r="V258" s="372">
        <v>4.3127917833800211</v>
      </c>
      <c r="W258" s="381">
        <v>-10</v>
      </c>
      <c r="X258" s="381">
        <v>-24.583371810262562</v>
      </c>
      <c r="Y258" s="381">
        <v>3.3512071495264735</v>
      </c>
      <c r="Z258" s="643">
        <v>33.396625662545546</v>
      </c>
      <c r="AA258" s="643">
        <v>63.258132355508735</v>
      </c>
      <c r="AB258" s="643">
        <v>3.3452419819457262</v>
      </c>
      <c r="AC258" s="61">
        <v>66.603374337454454</v>
      </c>
      <c r="AE258" s="323">
        <v>24.017290647995637</v>
      </c>
      <c r="AF258" s="323">
        <v>35.260176863495929</v>
      </c>
      <c r="AG258" s="323">
        <v>43.124074607658208</v>
      </c>
      <c r="AH258" s="635">
        <v>112.039512387207</v>
      </c>
    </row>
    <row r="259" spans="1:34" ht="18" customHeight="1" x14ac:dyDescent="0.3">
      <c r="A259" s="146" t="s">
        <v>756</v>
      </c>
      <c r="B259" s="109" t="s">
        <v>757</v>
      </c>
      <c r="C259" s="109" t="s">
        <v>758</v>
      </c>
      <c r="D259" s="109" t="s">
        <v>759</v>
      </c>
      <c r="E259" s="334" t="s">
        <v>201</v>
      </c>
      <c r="F259" s="335" t="s">
        <v>201</v>
      </c>
      <c r="G259" s="332"/>
      <c r="H259" s="347">
        <v>-24.881363835146828</v>
      </c>
      <c r="I259" s="347">
        <v>-47.724487477246235</v>
      </c>
      <c r="J259" s="347">
        <v>-8.2654922172161776</v>
      </c>
      <c r="K259" s="115">
        <v>-29.030432996765427</v>
      </c>
      <c r="L259" s="115">
        <v>-56.664146304994631</v>
      </c>
      <c r="M259" s="115">
        <v>-7.2061042369019788</v>
      </c>
      <c r="N259" s="359">
        <v>-33.142895063025733</v>
      </c>
      <c r="O259" s="359">
        <v>-63.10198461662219</v>
      </c>
      <c r="P259" s="359">
        <v>-4.2219672382685474</v>
      </c>
      <c r="Q259" s="366">
        <v>0</v>
      </c>
      <c r="R259" s="366">
        <v>0</v>
      </c>
      <c r="S259" s="366">
        <v>0</v>
      </c>
      <c r="T259" s="372">
        <v>-6.4285714285714306</v>
      </c>
      <c r="U259" s="372">
        <v>-29.287394957983196</v>
      </c>
      <c r="V259" s="372">
        <v>4.4239028944911212</v>
      </c>
      <c r="W259" s="381">
        <v>-20.714285714285708</v>
      </c>
      <c r="X259" s="381">
        <v>-45.099633699633692</v>
      </c>
      <c r="Y259" s="381">
        <v>3.9853479853479854</v>
      </c>
      <c r="Z259" s="643">
        <v>19.372340838314216</v>
      </c>
      <c r="AA259" s="639">
        <v>42.003989217517116</v>
      </c>
      <c r="AB259" s="639">
        <v>38.623669944168661</v>
      </c>
      <c r="AC259" s="61">
        <v>80.627659161685784</v>
      </c>
      <c r="AE259" s="323">
        <v>39.458995260030058</v>
      </c>
      <c r="AF259" s="323">
        <v>49.458042068092652</v>
      </c>
      <c r="AG259" s="323">
        <v>58.880017378353642</v>
      </c>
      <c r="AH259" s="635">
        <v>721.75731427441394</v>
      </c>
    </row>
    <row r="260" spans="1:34" ht="18" customHeight="1" x14ac:dyDescent="0.3">
      <c r="A260" s="146" t="s">
        <v>756</v>
      </c>
      <c r="B260" s="311" t="s">
        <v>757</v>
      </c>
      <c r="C260" s="311" t="s">
        <v>807</v>
      </c>
      <c r="D260" s="330" t="s">
        <v>808</v>
      </c>
      <c r="E260" s="331" t="s">
        <v>810</v>
      </c>
      <c r="F260" s="332" t="s">
        <v>188</v>
      </c>
      <c r="G260" s="335"/>
      <c r="H260" s="347">
        <v>-8.8881126855035575</v>
      </c>
      <c r="I260" s="347">
        <v>-16.542973658914903</v>
      </c>
      <c r="J260" s="347">
        <v>-1.9330602245250645</v>
      </c>
      <c r="K260" s="115">
        <v>-5.114831203338241</v>
      </c>
      <c r="L260" s="115">
        <v>-21.277404953473251</v>
      </c>
      <c r="M260" s="115">
        <v>5.0835552427270017</v>
      </c>
      <c r="N260" s="359">
        <v>-1.4483779331953031</v>
      </c>
      <c r="O260" s="359">
        <v>-14.682295805235768</v>
      </c>
      <c r="P260" s="359">
        <v>13.434038480626825</v>
      </c>
      <c r="Q260" s="366">
        <v>0</v>
      </c>
      <c r="R260" s="366">
        <v>0</v>
      </c>
      <c r="S260" s="366">
        <v>0</v>
      </c>
      <c r="T260" s="372">
        <v>0</v>
      </c>
      <c r="U260" s="372">
        <v>-9.4484004127967012</v>
      </c>
      <c r="V260" s="372">
        <v>4.784657722738217</v>
      </c>
      <c r="W260" s="381">
        <v>0</v>
      </c>
      <c r="X260" s="381">
        <v>-9.4428699955015816</v>
      </c>
      <c r="Y260" s="381">
        <v>9.7962213225371073</v>
      </c>
      <c r="Z260" s="643">
        <v>62.310985017537973</v>
      </c>
      <c r="AA260" s="639">
        <v>18.494108777701186</v>
      </c>
      <c r="AB260" s="639">
        <v>19.194906204760844</v>
      </c>
      <c r="AC260" s="61">
        <v>37.689014982462027</v>
      </c>
      <c r="AE260" s="323">
        <v>14.609913434389838</v>
      </c>
      <c r="AF260" s="323">
        <v>26.360960196200253</v>
      </c>
      <c r="AG260" s="323">
        <v>28.116334285862592</v>
      </c>
      <c r="AH260" s="635">
        <v>54778.2552967148</v>
      </c>
    </row>
    <row r="261" spans="1:34" ht="18" customHeight="1" x14ac:dyDescent="0.3">
      <c r="A261" s="146" t="s">
        <v>756</v>
      </c>
      <c r="B261" s="147" t="s">
        <v>757</v>
      </c>
      <c r="C261" s="147" t="s">
        <v>785</v>
      </c>
      <c r="D261" s="333" t="s">
        <v>786</v>
      </c>
      <c r="E261" s="331"/>
      <c r="F261" s="332" t="s">
        <v>188</v>
      </c>
      <c r="G261" s="335"/>
      <c r="H261" s="347">
        <v>-7.3543017114177189</v>
      </c>
      <c r="I261" s="347">
        <v>-14.516594884360742</v>
      </c>
      <c r="J261" s="347">
        <v>-3.2351386941899705</v>
      </c>
      <c r="K261" s="115">
        <v>-6.6445999727175007</v>
      </c>
      <c r="L261" s="115">
        <v>-20.288244334127853</v>
      </c>
      <c r="M261" s="115">
        <v>1.4361594486620533</v>
      </c>
      <c r="N261" s="359">
        <v>-5.0771992455453017</v>
      </c>
      <c r="O261" s="359">
        <v>-18.946919666964064</v>
      </c>
      <c r="P261" s="359">
        <v>7.7471671948354555</v>
      </c>
      <c r="Q261" s="366">
        <v>0</v>
      </c>
      <c r="R261" s="366">
        <v>0</v>
      </c>
      <c r="S261" s="366">
        <v>0</v>
      </c>
      <c r="T261" s="372">
        <v>0</v>
      </c>
      <c r="U261" s="372">
        <v>-8.1762838468720815</v>
      </c>
      <c r="V261" s="372">
        <v>4.5445378151260485</v>
      </c>
      <c r="W261" s="381">
        <v>-2.8571428571428612</v>
      </c>
      <c r="X261" s="381">
        <v>-11.993162393162393</v>
      </c>
      <c r="Y261" s="381">
        <v>9.4847374847374795</v>
      </c>
      <c r="Z261" s="643">
        <v>74.551246713208783</v>
      </c>
      <c r="AA261" s="639">
        <v>23.011983557654609</v>
      </c>
      <c r="AB261" s="639">
        <v>2.4367697291366022</v>
      </c>
      <c r="AC261" s="61">
        <v>25.448753286791213</v>
      </c>
      <c r="AE261" s="323">
        <v>11.281456190170772</v>
      </c>
      <c r="AF261" s="323">
        <v>21.724403782789906</v>
      </c>
      <c r="AG261" s="323">
        <v>26.694086861799519</v>
      </c>
      <c r="AH261" s="635">
        <v>783.59576925097701</v>
      </c>
    </row>
    <row r="262" spans="1:34" ht="18" customHeight="1" x14ac:dyDescent="0.3">
      <c r="A262" s="146" t="s">
        <v>756</v>
      </c>
      <c r="B262" s="109" t="s">
        <v>763</v>
      </c>
      <c r="C262" s="109" t="s">
        <v>776</v>
      </c>
      <c r="D262" s="109" t="s">
        <v>777</v>
      </c>
      <c r="E262" s="334" t="s">
        <v>187</v>
      </c>
      <c r="F262" s="335" t="s">
        <v>187</v>
      </c>
      <c r="G262" s="335"/>
      <c r="H262" s="347">
        <v>-10.449436776629625</v>
      </c>
      <c r="I262" s="347">
        <v>-24.600264528372833</v>
      </c>
      <c r="J262" s="347">
        <v>-2.0487522086287129</v>
      </c>
      <c r="K262" s="115">
        <v>-11.472122088491687</v>
      </c>
      <c r="L262" s="115">
        <v>-29.604474621590001</v>
      </c>
      <c r="M262" s="115">
        <v>0.93102092186568086</v>
      </c>
      <c r="N262" s="359">
        <v>-7.9121141509992867</v>
      </c>
      <c r="O262" s="359">
        <v>-25.503263901915957</v>
      </c>
      <c r="P262" s="359">
        <v>2.2268741192821579</v>
      </c>
      <c r="Q262" s="366">
        <v>0</v>
      </c>
      <c r="R262" s="366">
        <v>0</v>
      </c>
      <c r="S262" s="366">
        <v>0</v>
      </c>
      <c r="T262" s="372">
        <v>-1</v>
      </c>
      <c r="U262" s="372">
        <v>-11.004855275443518</v>
      </c>
      <c r="V262" s="372">
        <v>3.0746965452847803</v>
      </c>
      <c r="W262" s="381">
        <v>-5</v>
      </c>
      <c r="X262" s="381">
        <v>-19.621048419367753</v>
      </c>
      <c r="Y262" s="381">
        <v>3.5938375350140035</v>
      </c>
      <c r="Z262" s="643">
        <v>28.029570523007507</v>
      </c>
      <c r="AA262" s="639">
        <v>40.006314025505425</v>
      </c>
      <c r="AB262" s="639">
        <v>31.964115451487064</v>
      </c>
      <c r="AC262" s="61">
        <v>71.970429476992493</v>
      </c>
      <c r="AE262" s="323">
        <v>22.55151231974412</v>
      </c>
      <c r="AF262" s="323">
        <v>30.535495543455681</v>
      </c>
      <c r="AG262" s="323">
        <v>27.730138021198115</v>
      </c>
      <c r="AH262" s="635">
        <v>9616.9919062709996</v>
      </c>
    </row>
    <row r="263" spans="1:34" ht="18" customHeight="1" x14ac:dyDescent="0.3">
      <c r="A263" s="146" t="s">
        <v>756</v>
      </c>
      <c r="B263" s="311" t="s">
        <v>763</v>
      </c>
      <c r="C263" s="311" t="s">
        <v>779</v>
      </c>
      <c r="D263" s="109" t="s">
        <v>780</v>
      </c>
      <c r="E263" s="334"/>
      <c r="F263" s="335" t="s">
        <v>267</v>
      </c>
      <c r="G263" s="335"/>
      <c r="H263" s="347">
        <v>-8.6883291195399295</v>
      </c>
      <c r="I263" s="347">
        <v>-13.070051766613886</v>
      </c>
      <c r="J263" s="347">
        <v>-3.1857398410002986</v>
      </c>
      <c r="K263" s="115">
        <v>-10.383225572939764</v>
      </c>
      <c r="L263" s="115">
        <v>-27.871354099337495</v>
      </c>
      <c r="M263" s="115">
        <v>-0.85919866082107887</v>
      </c>
      <c r="N263" s="359">
        <v>-11.604987672661977</v>
      </c>
      <c r="O263" s="359">
        <v>-32.195392981733207</v>
      </c>
      <c r="P263" s="359">
        <v>1.0910167215657509</v>
      </c>
      <c r="Q263" s="366">
        <v>0</v>
      </c>
      <c r="R263" s="366">
        <v>0</v>
      </c>
      <c r="S263" s="366">
        <v>0</v>
      </c>
      <c r="T263" s="372">
        <v>-2.8571428571428612</v>
      </c>
      <c r="U263" s="372">
        <v>-17.181272509003605</v>
      </c>
      <c r="V263" s="372">
        <v>2.6597305588902174</v>
      </c>
      <c r="W263" s="381">
        <v>-9.2857142857142918</v>
      </c>
      <c r="X263" s="381">
        <v>-26.488574917146352</v>
      </c>
      <c r="Y263" s="381">
        <v>1.401534972963546</v>
      </c>
      <c r="Z263" s="643">
        <v>78.723419375462484</v>
      </c>
      <c r="AA263" s="643">
        <v>14.265578069177549</v>
      </c>
      <c r="AB263" s="643">
        <v>7.0110025553599691</v>
      </c>
      <c r="AC263" s="61">
        <v>21.276580624537516</v>
      </c>
      <c r="AE263" s="323">
        <v>9.8843119256135878</v>
      </c>
      <c r="AF263" s="323">
        <v>27.012155438516416</v>
      </c>
      <c r="AG263" s="323">
        <v>33.286409703298958</v>
      </c>
      <c r="AH263" s="635">
        <v>78431.091649243695</v>
      </c>
    </row>
    <row r="264" spans="1:34" ht="18" customHeight="1" x14ac:dyDescent="0.3">
      <c r="A264" s="146" t="s">
        <v>756</v>
      </c>
      <c r="B264" s="311" t="s">
        <v>757</v>
      </c>
      <c r="C264" s="311" t="s">
        <v>831</v>
      </c>
      <c r="D264" s="337" t="s">
        <v>832</v>
      </c>
      <c r="E264" s="334"/>
      <c r="F264" s="335" t="s">
        <v>266</v>
      </c>
      <c r="G264" s="335"/>
      <c r="H264" s="347">
        <v>-1.0823529300012069E-2</v>
      </c>
      <c r="I264" s="347">
        <v>-1.8647130454581884E-2</v>
      </c>
      <c r="J264" s="347">
        <v>-2.8968469139982744E-3</v>
      </c>
      <c r="K264" s="115">
        <v>-8.504201592870686E-3</v>
      </c>
      <c r="L264" s="115">
        <v>-10.249073388067544</v>
      </c>
      <c r="M264" s="115">
        <v>3.3044201688767458</v>
      </c>
      <c r="N264" s="359">
        <v>-1.4316638655143095</v>
      </c>
      <c r="O264" s="359">
        <v>-26.644053877233546</v>
      </c>
      <c r="P264" s="359">
        <v>8.455377394731741</v>
      </c>
      <c r="Q264" s="366">
        <v>0</v>
      </c>
      <c r="R264" s="366">
        <v>0</v>
      </c>
      <c r="S264" s="366">
        <v>0</v>
      </c>
      <c r="T264" s="372">
        <v>0</v>
      </c>
      <c r="U264" s="372">
        <v>-10.233426704014946</v>
      </c>
      <c r="V264" s="372">
        <v>3.3064425770308077</v>
      </c>
      <c r="W264" s="381">
        <v>-1.4285714285714306</v>
      </c>
      <c r="X264" s="381">
        <v>-26.639804639804638</v>
      </c>
      <c r="Y264" s="381">
        <v>8.4566544566544479</v>
      </c>
      <c r="Z264" s="643">
        <v>99.963921568999993</v>
      </c>
      <c r="AA264" s="643">
        <v>3.6078431000000001E-2</v>
      </c>
      <c r="AB264" s="643">
        <v>0</v>
      </c>
      <c r="AC264" s="61">
        <v>3.6078431000000001E-2</v>
      </c>
      <c r="AE264" s="323">
        <v>1.5750283540583609E-2</v>
      </c>
      <c r="AF264" s="323">
        <v>13.553493556944289</v>
      </c>
      <c r="AG264" s="323">
        <v>35.099431271965287</v>
      </c>
      <c r="AH264" s="635">
        <v>159.305546514648</v>
      </c>
    </row>
    <row r="265" spans="1:34" ht="18" customHeight="1" x14ac:dyDescent="0.3">
      <c r="A265" s="146" t="s">
        <v>756</v>
      </c>
      <c r="B265" s="311" t="s">
        <v>757</v>
      </c>
      <c r="C265" s="311" t="s">
        <v>829</v>
      </c>
      <c r="D265" s="109" t="s">
        <v>830</v>
      </c>
      <c r="E265" s="334" t="s">
        <v>201</v>
      </c>
      <c r="F265" s="335" t="s">
        <v>201</v>
      </c>
      <c r="G265" s="335"/>
      <c r="H265" s="347">
        <v>-0.12159999534375743</v>
      </c>
      <c r="I265" s="347">
        <v>-0.25232408802180828</v>
      </c>
      <c r="J265" s="347">
        <v>-4.0946247315943651E-2</v>
      </c>
      <c r="K265" s="115">
        <v>-5.1105454503125003</v>
      </c>
      <c r="L265" s="115">
        <v>-16.246737875698599</v>
      </c>
      <c r="M265" s="115">
        <v>-0.26486831187469306</v>
      </c>
      <c r="N265" s="359">
        <v>-19.441032284906271</v>
      </c>
      <c r="O265" s="359">
        <v>-41.538942180752244</v>
      </c>
      <c r="P265" s="359">
        <v>-4.58510549926865</v>
      </c>
      <c r="Q265" s="366">
        <v>0</v>
      </c>
      <c r="R265" s="366">
        <v>0</v>
      </c>
      <c r="S265" s="366">
        <v>0</v>
      </c>
      <c r="T265" s="372">
        <v>-5</v>
      </c>
      <c r="U265" s="372">
        <v>-16.028057889822591</v>
      </c>
      <c r="V265" s="372">
        <v>-0.21241830065359579</v>
      </c>
      <c r="W265" s="381">
        <v>-19.375</v>
      </c>
      <c r="X265" s="381">
        <v>-41.42094017094017</v>
      </c>
      <c r="Y265" s="381">
        <v>-4.5405982905982967</v>
      </c>
      <c r="Z265" s="643">
        <v>99.582577220999994</v>
      </c>
      <c r="AA265" s="639">
        <v>0.245269823</v>
      </c>
      <c r="AB265" s="639">
        <v>0.17215295600000002</v>
      </c>
      <c r="AC265" s="61">
        <v>0.41742277900000002</v>
      </c>
      <c r="AE265" s="323">
        <v>0.21137784070586463</v>
      </c>
      <c r="AF265" s="323">
        <v>15.981869563823906</v>
      </c>
      <c r="AG265" s="323">
        <v>36.953836681483594</v>
      </c>
      <c r="AH265" s="635">
        <v>363.049240783203</v>
      </c>
    </row>
    <row r="266" spans="1:34" ht="18" customHeight="1" x14ac:dyDescent="0.3">
      <c r="A266" s="146" t="s">
        <v>756</v>
      </c>
      <c r="B266" s="311" t="s">
        <v>757</v>
      </c>
      <c r="C266" s="311" t="s">
        <v>793</v>
      </c>
      <c r="D266" s="109" t="s">
        <v>794</v>
      </c>
      <c r="E266" s="334"/>
      <c r="F266" s="335" t="s">
        <v>267</v>
      </c>
      <c r="G266" s="334"/>
      <c r="H266" s="347">
        <v>-5.670350303948922</v>
      </c>
      <c r="I266" s="347">
        <v>-13.370761906794968</v>
      </c>
      <c r="J266" s="347">
        <v>-0.9958841250381596</v>
      </c>
      <c r="K266" s="115">
        <v>-6.6335352442539772</v>
      </c>
      <c r="L266" s="115">
        <v>-24.053579814216718</v>
      </c>
      <c r="M266" s="115">
        <v>0.83970357872850343</v>
      </c>
      <c r="N266" s="359">
        <v>-10.627191661538788</v>
      </c>
      <c r="O266" s="359">
        <v>-31.892593816065627</v>
      </c>
      <c r="P266" s="359">
        <v>2.8781821078104599</v>
      </c>
      <c r="Q266" s="366">
        <v>0</v>
      </c>
      <c r="R266" s="366">
        <v>0</v>
      </c>
      <c r="S266" s="366">
        <v>0</v>
      </c>
      <c r="T266" s="372">
        <v>-1.4285714285714306</v>
      </c>
      <c r="U266" s="372">
        <v>-13.857462985194076</v>
      </c>
      <c r="V266" s="372">
        <v>2.3223155929038199</v>
      </c>
      <c r="W266" s="381">
        <v>-7.8571428571428612</v>
      </c>
      <c r="X266" s="381">
        <v>-25.614163614163616</v>
      </c>
      <c r="Y266" s="381">
        <v>4.8876678876678881</v>
      </c>
      <c r="Z266" s="643">
        <v>77.732321014346837</v>
      </c>
      <c r="AA266" s="643">
        <v>12.554147058659183</v>
      </c>
      <c r="AB266" s="643">
        <v>9.7135319269939711</v>
      </c>
      <c r="AC266" s="61">
        <v>22.267678985653156</v>
      </c>
      <c r="AE266" s="323">
        <v>12.374877781756808</v>
      </c>
      <c r="AF266" s="323">
        <v>24.893283392945222</v>
      </c>
      <c r="AG266" s="323">
        <v>34.770775923876087</v>
      </c>
      <c r="AH266" s="635">
        <v>37936.446055815402</v>
      </c>
    </row>
    <row r="267" spans="1:34" ht="18" customHeight="1" x14ac:dyDescent="0.3">
      <c r="A267" s="146" t="s">
        <v>756</v>
      </c>
      <c r="B267" s="311" t="s">
        <v>757</v>
      </c>
      <c r="C267" s="311" t="s">
        <v>799</v>
      </c>
      <c r="D267" s="109" t="s">
        <v>800</v>
      </c>
      <c r="E267" s="334"/>
      <c r="F267" s="335" t="s">
        <v>201</v>
      </c>
      <c r="G267" s="335"/>
      <c r="H267" s="347">
        <v>-3.5182101521283897</v>
      </c>
      <c r="I267" s="347">
        <v>-5.7402974395776027</v>
      </c>
      <c r="J267" s="347">
        <v>-1.0075621845079468</v>
      </c>
      <c r="K267" s="115">
        <v>-8.515702815409611</v>
      </c>
      <c r="L267" s="115">
        <v>-22.715210120927736</v>
      </c>
      <c r="M267" s="115">
        <v>1.5932546973626813</v>
      </c>
      <c r="N267" s="359">
        <v>-15.347056500660116</v>
      </c>
      <c r="O267" s="359">
        <v>-32.326150070503289</v>
      </c>
      <c r="P267" s="359">
        <v>1.9881476333049335</v>
      </c>
      <c r="Q267" s="366">
        <v>0</v>
      </c>
      <c r="R267" s="366">
        <v>0</v>
      </c>
      <c r="S267" s="366">
        <v>0</v>
      </c>
      <c r="T267" s="372">
        <v>-5.625</v>
      </c>
      <c r="U267" s="372">
        <v>-19.276470588235298</v>
      </c>
      <c r="V267" s="372">
        <v>2.4570261437908414</v>
      </c>
      <c r="W267" s="381">
        <v>-13.125</v>
      </c>
      <c r="X267" s="381">
        <v>-29.575091575091577</v>
      </c>
      <c r="Y267" s="381">
        <v>2.7961233211233179</v>
      </c>
      <c r="Z267" s="643">
        <v>90.647562720266706</v>
      </c>
      <c r="AA267" s="639">
        <v>5.1648053124536535</v>
      </c>
      <c r="AB267" s="639">
        <v>4.1876319672796489</v>
      </c>
      <c r="AC267" s="61">
        <v>9.3524372797333015</v>
      </c>
      <c r="AE267" s="323">
        <v>4.732735255069656</v>
      </c>
      <c r="AF267" s="323">
        <v>24.308464818290417</v>
      </c>
      <c r="AG267" s="323">
        <v>34.314297703808222</v>
      </c>
      <c r="AH267" s="635">
        <v>42051.044479388394</v>
      </c>
    </row>
    <row r="268" spans="1:34" ht="18" customHeight="1" x14ac:dyDescent="0.3">
      <c r="A268" s="146" t="s">
        <v>756</v>
      </c>
      <c r="B268" s="109" t="s">
        <v>757</v>
      </c>
      <c r="C268" s="109" t="s">
        <v>803</v>
      </c>
      <c r="D268" s="109" t="s">
        <v>804</v>
      </c>
      <c r="E268" s="334" t="s">
        <v>227</v>
      </c>
      <c r="F268" s="335" t="s">
        <v>201</v>
      </c>
      <c r="G268" s="335"/>
      <c r="H268" s="347">
        <v>-3.490279545407148</v>
      </c>
      <c r="I268" s="347">
        <v>-7.3089750970910785</v>
      </c>
      <c r="J268" s="347">
        <v>-1.5095897386440384</v>
      </c>
      <c r="K268" s="115">
        <v>-6.560708060164302</v>
      </c>
      <c r="L268" s="115">
        <v>-16.750733850247457</v>
      </c>
      <c r="M268" s="115">
        <v>-7.0689815135381195E-2</v>
      </c>
      <c r="N268" s="359">
        <v>-13.966731253535713</v>
      </c>
      <c r="O268" s="359">
        <v>-33.321429635911826</v>
      </c>
      <c r="P268" s="359">
        <v>0.22264507525103738</v>
      </c>
      <c r="Q268" s="366">
        <v>0</v>
      </c>
      <c r="R268" s="366">
        <v>0</v>
      </c>
      <c r="S268" s="366">
        <v>0</v>
      </c>
      <c r="T268" s="372">
        <v>-2.8571428571428612</v>
      </c>
      <c r="U268" s="372">
        <v>-10.582633053221286</v>
      </c>
      <c r="V268" s="372">
        <v>1.662905162064817</v>
      </c>
      <c r="W268" s="381">
        <v>-12.142857142857139</v>
      </c>
      <c r="X268" s="381">
        <v>-31.801674515960229</v>
      </c>
      <c r="Y268" s="381">
        <v>1.2873888016745241</v>
      </c>
      <c r="Z268" s="643">
        <v>84.651438166999995</v>
      </c>
      <c r="AA268" s="643">
        <v>14.511430233</v>
      </c>
      <c r="AB268" s="643">
        <v>0.83713159999999998</v>
      </c>
      <c r="AC268" s="61">
        <v>15.348561833</v>
      </c>
      <c r="AE268" s="323">
        <v>5.7993853584470401</v>
      </c>
      <c r="AF268" s="323">
        <v>16.680044035112076</v>
      </c>
      <c r="AG268" s="323">
        <v>33.544074711162864</v>
      </c>
      <c r="AH268" s="635">
        <v>85.670092035156202</v>
      </c>
    </row>
    <row r="269" spans="1:34" ht="18" customHeight="1" x14ac:dyDescent="0.3">
      <c r="A269" s="146" t="s">
        <v>756</v>
      </c>
      <c r="B269" s="146" t="s">
        <v>766</v>
      </c>
      <c r="C269" s="146" t="s">
        <v>827</v>
      </c>
      <c r="D269" s="146" t="s">
        <v>828</v>
      </c>
      <c r="E269" s="322"/>
      <c r="F269" s="321" t="s">
        <v>267</v>
      </c>
      <c r="G269" s="321"/>
      <c r="H269" s="347">
        <v>-1.2738571570428547</v>
      </c>
      <c r="I269" s="347">
        <v>-2.707683696153893</v>
      </c>
      <c r="J269" s="347">
        <v>-0.32152419588956604</v>
      </c>
      <c r="K269" s="115">
        <v>-1.1670570103785849</v>
      </c>
      <c r="L269" s="115">
        <v>-9.9865273712647706</v>
      </c>
      <c r="M269" s="115">
        <v>3.2606710322049395</v>
      </c>
      <c r="N269" s="359">
        <v>-1.2909551115357232</v>
      </c>
      <c r="O269" s="359">
        <v>-17.979329580424263</v>
      </c>
      <c r="P269" s="359">
        <v>7.3950188424653334</v>
      </c>
      <c r="Q269" s="366">
        <v>0</v>
      </c>
      <c r="R269" s="366">
        <v>0</v>
      </c>
      <c r="S269" s="366">
        <v>0</v>
      </c>
      <c r="T269" s="372">
        <v>0</v>
      </c>
      <c r="U269" s="372">
        <v>-7.7254901960784252</v>
      </c>
      <c r="V269" s="372">
        <v>4.058823529411768</v>
      </c>
      <c r="W269" s="381">
        <v>-0.7142857142857082</v>
      </c>
      <c r="X269" s="381">
        <v>-16.780650721827186</v>
      </c>
      <c r="Y269" s="381">
        <v>7.6414565826330545</v>
      </c>
      <c r="Z269" s="643">
        <v>92.464253603999992</v>
      </c>
      <c r="AA269" s="643">
        <v>7.4162741370000003</v>
      </c>
      <c r="AB269" s="643">
        <v>0.11947225899999998</v>
      </c>
      <c r="AC269" s="61">
        <v>7.5357463960000004</v>
      </c>
      <c r="AE269" s="323">
        <v>2.386159500264327</v>
      </c>
      <c r="AF269" s="323">
        <v>13.24719840346971</v>
      </c>
      <c r="AG269" s="323">
        <v>25.374348422889597</v>
      </c>
      <c r="AH269" s="635">
        <v>85.229917072265593</v>
      </c>
    </row>
    <row r="270" spans="1:34" ht="18" customHeight="1" x14ac:dyDescent="0.3">
      <c r="A270" s="146" t="s">
        <v>756</v>
      </c>
      <c r="B270" s="146" t="s">
        <v>766</v>
      </c>
      <c r="C270" s="146" t="s">
        <v>823</v>
      </c>
      <c r="D270" s="146" t="s">
        <v>824</v>
      </c>
      <c r="E270" s="322"/>
      <c r="F270" s="321" t="s">
        <v>227</v>
      </c>
      <c r="G270" s="321"/>
      <c r="H270" s="347">
        <v>-1.810937497735722</v>
      </c>
      <c r="I270" s="347">
        <v>-4.2749123001096905</v>
      </c>
      <c r="J270" s="347">
        <v>-0.55128382026207134</v>
      </c>
      <c r="K270" s="115">
        <v>-1.8665734889028585</v>
      </c>
      <c r="L270" s="115">
        <v>-15.846599244497213</v>
      </c>
      <c r="M270" s="115">
        <v>0.79023332004398128</v>
      </c>
      <c r="N270" s="359">
        <v>-3.8912343695057245</v>
      </c>
      <c r="O270" s="359">
        <v>-18.8430633893324</v>
      </c>
      <c r="P270" s="359">
        <v>4.0675601202607368</v>
      </c>
      <c r="Q270" s="366">
        <v>0</v>
      </c>
      <c r="R270" s="366">
        <v>0</v>
      </c>
      <c r="S270" s="366">
        <v>0</v>
      </c>
      <c r="T270" s="372">
        <v>0</v>
      </c>
      <c r="U270" s="372">
        <v>-11.591036414565821</v>
      </c>
      <c r="V270" s="372">
        <v>1.915966386554615</v>
      </c>
      <c r="W270" s="381">
        <v>-2.8571428571428612</v>
      </c>
      <c r="X270" s="381">
        <v>-15.875888817065288</v>
      </c>
      <c r="Y270" s="381">
        <v>4.0224089635854341</v>
      </c>
      <c r="Z270" s="643">
        <v>87.066159382999999</v>
      </c>
      <c r="AA270" s="643">
        <v>12.219284803999999</v>
      </c>
      <c r="AB270" s="643">
        <v>0.71455581300000004</v>
      </c>
      <c r="AC270" s="61">
        <v>12.933840617</v>
      </c>
      <c r="AE270" s="323">
        <v>3.7236284798476191</v>
      </c>
      <c r="AF270" s="323">
        <v>16.636832564541194</v>
      </c>
      <c r="AG270" s="323">
        <v>22.910623509593137</v>
      </c>
      <c r="AH270" s="635">
        <v>71.029437555664103</v>
      </c>
    </row>
    <row r="271" spans="1:34" ht="18" customHeight="1" x14ac:dyDescent="0.3">
      <c r="A271" s="146" t="s">
        <v>756</v>
      </c>
      <c r="B271" s="311" t="s">
        <v>766</v>
      </c>
      <c r="C271" s="311" t="s">
        <v>801</v>
      </c>
      <c r="D271" s="330" t="s">
        <v>802</v>
      </c>
      <c r="E271" s="334"/>
      <c r="F271" s="332" t="s">
        <v>188</v>
      </c>
      <c r="G271" s="332"/>
      <c r="H271" s="347">
        <v>-4.029708248276151</v>
      </c>
      <c r="I271" s="347">
        <v>-9.8291478037646556</v>
      </c>
      <c r="J271" s="347">
        <v>-1.161378896525278</v>
      </c>
      <c r="K271" s="115">
        <v>-3.3079135087126019</v>
      </c>
      <c r="L271" s="115">
        <v>-15.359960011258821</v>
      </c>
      <c r="M271" s="115">
        <v>3.4970839889301431</v>
      </c>
      <c r="N271" s="359">
        <v>-1.4665457246143632</v>
      </c>
      <c r="O271" s="359">
        <v>-14.664821146992224</v>
      </c>
      <c r="P271" s="359">
        <v>8.2980352430309097</v>
      </c>
      <c r="Q271" s="366">
        <v>0</v>
      </c>
      <c r="R271" s="366">
        <v>0</v>
      </c>
      <c r="S271" s="366">
        <v>0</v>
      </c>
      <c r="T271" s="372">
        <v>0</v>
      </c>
      <c r="U271" s="372">
        <v>-5.7508870214752505</v>
      </c>
      <c r="V271" s="372">
        <v>5.4969187675069975</v>
      </c>
      <c r="W271" s="381">
        <v>0</v>
      </c>
      <c r="X271" s="381">
        <v>-8.2885872297637064</v>
      </c>
      <c r="Y271" s="381">
        <v>9.3874883286648014</v>
      </c>
      <c r="Z271" s="643">
        <v>72.498038026206501</v>
      </c>
      <c r="AA271" s="639">
        <v>16.306231528446474</v>
      </c>
      <c r="AB271" s="639">
        <v>11.195730445347023</v>
      </c>
      <c r="AC271" s="61">
        <v>27.501961973793499</v>
      </c>
      <c r="AE271" s="323">
        <v>8.6677689072393775</v>
      </c>
      <c r="AF271" s="323">
        <v>18.857044000188964</v>
      </c>
      <c r="AG271" s="323">
        <v>22.962856390023134</v>
      </c>
      <c r="AH271" s="635">
        <v>9090.717254877929</v>
      </c>
    </row>
    <row r="272" spans="1:34" ht="18" customHeight="1" x14ac:dyDescent="0.3">
      <c r="A272" s="146" t="s">
        <v>756</v>
      </c>
      <c r="B272" s="311" t="s">
        <v>757</v>
      </c>
      <c r="C272" s="311" t="s">
        <v>782</v>
      </c>
      <c r="D272" s="109" t="s">
        <v>783</v>
      </c>
      <c r="E272" s="334"/>
      <c r="F272" s="335" t="s">
        <v>201</v>
      </c>
      <c r="G272" s="335"/>
      <c r="H272" s="347">
        <v>-8.4929152380749997</v>
      </c>
      <c r="I272" s="347">
        <v>-13.806607060334969</v>
      </c>
      <c r="J272" s="347">
        <v>-3.3674880176310751</v>
      </c>
      <c r="K272" s="115">
        <v>-9.3049216200937508</v>
      </c>
      <c r="L272" s="115">
        <v>-26.891892162871969</v>
      </c>
      <c r="M272" s="115">
        <v>0.62088489233255473</v>
      </c>
      <c r="N272" s="359">
        <v>-6.5365099127375004</v>
      </c>
      <c r="O272" s="359">
        <v>-29.672046297714587</v>
      </c>
      <c r="P272" s="359">
        <v>5.0663260761024418</v>
      </c>
      <c r="Q272" s="366">
        <v>0</v>
      </c>
      <c r="R272" s="366">
        <v>0</v>
      </c>
      <c r="S272" s="366">
        <v>0</v>
      </c>
      <c r="T272" s="372">
        <v>-1.875</v>
      </c>
      <c r="U272" s="372">
        <v>-16.67051820728291</v>
      </c>
      <c r="V272" s="372">
        <v>2.7598039215686327</v>
      </c>
      <c r="W272" s="381">
        <v>-3.125</v>
      </c>
      <c r="X272" s="381">
        <v>-24.220543345543348</v>
      </c>
      <c r="Y272" s="381">
        <v>5.8611111111111143</v>
      </c>
      <c r="Z272" s="643">
        <v>77.734727832000004</v>
      </c>
      <c r="AA272" s="639">
        <v>10.691287852999999</v>
      </c>
      <c r="AB272" s="639">
        <v>11.573984315000001</v>
      </c>
      <c r="AC272" s="61">
        <v>22.265272167999999</v>
      </c>
      <c r="AE272" s="323">
        <v>10.439119042703894</v>
      </c>
      <c r="AF272" s="323">
        <v>27.512777055204523</v>
      </c>
      <c r="AG272" s="323">
        <v>34.738372373817029</v>
      </c>
      <c r="AH272" s="635">
        <v>1748.2541586049799</v>
      </c>
    </row>
    <row r="273" spans="1:34" ht="18" customHeight="1" x14ac:dyDescent="0.3">
      <c r="A273" s="146" t="s">
        <v>756</v>
      </c>
      <c r="B273" s="311" t="s">
        <v>757</v>
      </c>
      <c r="C273" s="571" t="s">
        <v>797</v>
      </c>
      <c r="D273" s="109" t="s">
        <v>798</v>
      </c>
      <c r="E273" s="334"/>
      <c r="F273" s="335" t="s">
        <v>266</v>
      </c>
      <c r="G273" s="335"/>
      <c r="H273" s="347">
        <v>-4.2608183324839786</v>
      </c>
      <c r="I273" s="347">
        <v>-7.2414901153799462</v>
      </c>
      <c r="J273" s="347">
        <v>-1.5864089232520371</v>
      </c>
      <c r="K273" s="115">
        <v>-4.950901498661068</v>
      </c>
      <c r="L273" s="115">
        <v>-20.923194434639285</v>
      </c>
      <c r="M273" s="115">
        <v>3.041912774214012</v>
      </c>
      <c r="N273" s="359">
        <v>-7.8055388377358383</v>
      </c>
      <c r="O273" s="359">
        <v>-28.629905122361535</v>
      </c>
      <c r="P273" s="359">
        <v>5.8986352190133289</v>
      </c>
      <c r="Q273" s="366">
        <v>0</v>
      </c>
      <c r="R273" s="366">
        <v>0</v>
      </c>
      <c r="S273" s="366">
        <v>0</v>
      </c>
      <c r="T273" s="372">
        <v>-1.25</v>
      </c>
      <c r="U273" s="372">
        <v>-15.462184873949582</v>
      </c>
      <c r="V273" s="372">
        <v>4.6764705882352899</v>
      </c>
      <c r="W273" s="381">
        <v>-6.25</v>
      </c>
      <c r="X273" s="381">
        <v>-26.067765567765576</v>
      </c>
      <c r="Y273" s="381">
        <v>7</v>
      </c>
      <c r="Z273" s="643">
        <v>88.866787326709158</v>
      </c>
      <c r="AA273" s="639">
        <v>6.4509580573080969</v>
      </c>
      <c r="AB273" s="639">
        <v>4.6822546159827372</v>
      </c>
      <c r="AC273" s="61">
        <v>11.133212673290835</v>
      </c>
      <c r="AE273" s="323">
        <v>5.6550811921279092</v>
      </c>
      <c r="AF273" s="323">
        <v>23.965107208853297</v>
      </c>
      <c r="AG273" s="323">
        <v>34.528540341374864</v>
      </c>
      <c r="AH273" s="635">
        <v>23953.5775729614</v>
      </c>
    </row>
    <row r="274" spans="1:34" ht="18" customHeight="1" x14ac:dyDescent="0.3">
      <c r="A274" s="146" t="s">
        <v>756</v>
      </c>
      <c r="B274" s="146" t="s">
        <v>766</v>
      </c>
      <c r="C274" s="146" t="s">
        <v>791</v>
      </c>
      <c r="D274" s="146" t="s">
        <v>792</v>
      </c>
      <c r="E274" s="331"/>
      <c r="F274" s="321" t="s">
        <v>188</v>
      </c>
      <c r="G274" s="332"/>
      <c r="H274" s="54">
        <v>-15.929237654499985</v>
      </c>
      <c r="I274" s="54">
        <v>-34.949868658115946</v>
      </c>
      <c r="J274" s="54">
        <v>-3.2562576896478106</v>
      </c>
      <c r="K274" s="350">
        <v>-14.188991198642853</v>
      </c>
      <c r="L274" s="350">
        <v>-40.034580214194079</v>
      </c>
      <c r="M274" s="350">
        <v>-1.8100581567520635</v>
      </c>
      <c r="N274" s="361">
        <v>-5.9797821869999979</v>
      </c>
      <c r="O274" s="361">
        <v>-31.477627066210403</v>
      </c>
      <c r="P274" s="361">
        <v>3.5776525223890303</v>
      </c>
      <c r="Q274" s="366">
        <v>0</v>
      </c>
      <c r="R274" s="366">
        <v>0</v>
      </c>
      <c r="S274" s="366">
        <v>0</v>
      </c>
      <c r="T274" s="372">
        <v>0</v>
      </c>
      <c r="U274" s="372">
        <v>-8.6685340802987838</v>
      </c>
      <c r="V274" s="372">
        <v>3.8580765639589174</v>
      </c>
      <c r="W274" s="381">
        <v>-1.4285714285714306</v>
      </c>
      <c r="X274" s="381">
        <v>-15.422107304460255</v>
      </c>
      <c r="Y274" s="381">
        <v>5.9327731092436977</v>
      </c>
      <c r="Z274" s="726">
        <v>4.5919759500000055</v>
      </c>
      <c r="AA274" s="726">
        <v>52.818455720000003</v>
      </c>
      <c r="AB274" s="726">
        <v>42.589568329999999</v>
      </c>
      <c r="AC274" s="72">
        <f>AA274+AB274</f>
        <v>95.408024049999995</v>
      </c>
      <c r="AE274" s="323">
        <v>31.693610968468136</v>
      </c>
      <c r="AF274" s="323">
        <v>38.224522057442016</v>
      </c>
      <c r="AG274" s="323">
        <v>35.055279588599433</v>
      </c>
      <c r="AH274" s="635">
        <v>257.68505457128902</v>
      </c>
    </row>
    <row r="275" spans="1:34" ht="18" customHeight="1" x14ac:dyDescent="0.3">
      <c r="A275" s="146" t="s">
        <v>756</v>
      </c>
      <c r="B275" s="147" t="s">
        <v>766</v>
      </c>
      <c r="C275" s="147" t="s">
        <v>773</v>
      </c>
      <c r="D275" s="333" t="s">
        <v>774</v>
      </c>
      <c r="E275" s="331"/>
      <c r="F275" s="332" t="s">
        <v>188</v>
      </c>
      <c r="G275" s="332"/>
      <c r="H275" s="54">
        <v>-13.889500905799864</v>
      </c>
      <c r="I275" s="54">
        <v>-21.433705531452091</v>
      </c>
      <c r="J275" s="54">
        <v>-5.604334457431591</v>
      </c>
      <c r="K275" s="350">
        <v>-12.042849865944888</v>
      </c>
      <c r="L275" s="350">
        <v>-25.513453034059793</v>
      </c>
      <c r="M275" s="350">
        <v>-3.0186858074024627</v>
      </c>
      <c r="N275" s="361">
        <v>-7.2021879005245495</v>
      </c>
      <c r="O275" s="361">
        <v>-22.691919767995458</v>
      </c>
      <c r="P275" s="361">
        <v>2.7039522434125729</v>
      </c>
      <c r="Q275" s="366">
        <v>0</v>
      </c>
      <c r="R275" s="366">
        <v>0</v>
      </c>
      <c r="S275" s="366">
        <v>0</v>
      </c>
      <c r="T275" s="372">
        <v>0</v>
      </c>
      <c r="U275" s="372">
        <v>-8.246498599439775</v>
      </c>
      <c r="V275" s="372">
        <v>2.0168067226890685</v>
      </c>
      <c r="W275" s="381">
        <v>-2.8571428571428612</v>
      </c>
      <c r="X275" s="381">
        <v>-12.7666451195863</v>
      </c>
      <c r="Y275" s="381">
        <v>4.621848739495789</v>
      </c>
      <c r="Z275" s="726">
        <v>56.431907159932805</v>
      </c>
      <c r="AA275" s="726">
        <v>30.004532380280715</v>
      </c>
      <c r="AB275" s="726">
        <v>13.563560459786483</v>
      </c>
      <c r="AC275" s="72">
        <f>AA275+AB275</f>
        <v>43.568092840067195</v>
      </c>
      <c r="AE275" s="323">
        <v>15.8293710740205</v>
      </c>
      <c r="AF275" s="323">
        <v>22.494767226657331</v>
      </c>
      <c r="AG275" s="323">
        <v>25.395872011408031</v>
      </c>
      <c r="AH275" s="635">
        <v>30938.2753820654</v>
      </c>
    </row>
    <row r="276" spans="1:34" ht="18" customHeight="1" x14ac:dyDescent="0.3">
      <c r="A276" s="146" t="s">
        <v>756</v>
      </c>
      <c r="B276" s="311" t="s">
        <v>766</v>
      </c>
      <c r="C276" s="311" t="s">
        <v>767</v>
      </c>
      <c r="D276" s="330" t="s">
        <v>768</v>
      </c>
      <c r="E276" s="322"/>
      <c r="F276" s="332" t="s">
        <v>188</v>
      </c>
      <c r="G276" s="321"/>
      <c r="H276" s="54">
        <v>-5.0310989500553518</v>
      </c>
      <c r="I276" s="54">
        <v>-11.178162101205075</v>
      </c>
      <c r="J276" s="54">
        <v>-0.96492547763465097</v>
      </c>
      <c r="K276" s="350">
        <v>-4.3476127988218138</v>
      </c>
      <c r="L276" s="350">
        <v>-17.697873021084263</v>
      </c>
      <c r="M276" s="350">
        <v>1.2000866954780633</v>
      </c>
      <c r="N276" s="361">
        <v>-2.6352291362029234</v>
      </c>
      <c r="O276" s="361">
        <v>-17.992108108440689</v>
      </c>
      <c r="P276" s="361">
        <v>5.088533506427467</v>
      </c>
      <c r="Q276" s="366">
        <v>0</v>
      </c>
      <c r="R276" s="366">
        <v>0</v>
      </c>
      <c r="S276" s="366">
        <v>0</v>
      </c>
      <c r="T276" s="372">
        <v>0</v>
      </c>
      <c r="U276" s="372">
        <v>-6.941549953314663</v>
      </c>
      <c r="V276" s="372">
        <v>3.8580765639589174</v>
      </c>
      <c r="W276" s="381">
        <v>-1.4285714285714306</v>
      </c>
      <c r="X276" s="381">
        <v>-11.993535875888824</v>
      </c>
      <c r="Y276" s="381">
        <v>5.9327731092436977</v>
      </c>
      <c r="Z276" s="726">
        <v>64.923364416423112</v>
      </c>
      <c r="AA276" s="726">
        <v>25.53479000554222</v>
      </c>
      <c r="AB276" s="726">
        <v>9.5418455780346765</v>
      </c>
      <c r="AC276" s="72">
        <f>AA276+AB276</f>
        <v>35.076635583576895</v>
      </c>
      <c r="AE276" s="323">
        <v>10.213236623570424</v>
      </c>
      <c r="AF276" s="323">
        <v>18.897959716562326</v>
      </c>
      <c r="AG276" s="323">
        <v>23.080641614868156</v>
      </c>
      <c r="AH276" s="635">
        <v>6874.9480548286101</v>
      </c>
    </row>
    <row r="277" spans="1:34" ht="18" customHeight="1" x14ac:dyDescent="0.3">
      <c r="A277" s="146" t="s">
        <v>756</v>
      </c>
      <c r="B277" s="109" t="s">
        <v>813</v>
      </c>
      <c r="C277" s="109" t="s">
        <v>825</v>
      </c>
      <c r="D277" s="109" t="s">
        <v>826</v>
      </c>
      <c r="E277" s="334" t="s">
        <v>187</v>
      </c>
      <c r="F277" s="335" t="s">
        <v>227</v>
      </c>
      <c r="G277" s="334"/>
      <c r="H277" s="347">
        <v>-1.5445624999999978</v>
      </c>
      <c r="I277" s="347">
        <v>-4.9967307805498677</v>
      </c>
      <c r="J277" s="347">
        <v>-7.4820085251005253E-2</v>
      </c>
      <c r="K277" s="115">
        <v>-5.558250000000001</v>
      </c>
      <c r="L277" s="115">
        <v>-29.69446382612486</v>
      </c>
      <c r="M277" s="115">
        <v>3.3164306955299594</v>
      </c>
      <c r="N277" s="359">
        <v>-24.470862499999996</v>
      </c>
      <c r="O277" s="359">
        <v>-56.510362529970024</v>
      </c>
      <c r="P277" s="359">
        <v>-11.269279811854801</v>
      </c>
      <c r="Q277" s="366">
        <v>0</v>
      </c>
      <c r="R277" s="366">
        <v>0</v>
      </c>
      <c r="S277" s="366">
        <v>0</v>
      </c>
      <c r="T277" s="372">
        <v>-3.125</v>
      </c>
      <c r="U277" s="372">
        <v>-25.49183006535948</v>
      </c>
      <c r="V277" s="372">
        <v>4.2320261437908471</v>
      </c>
      <c r="W277" s="381">
        <v>-22.875</v>
      </c>
      <c r="X277" s="381">
        <v>-53.775974025974023</v>
      </c>
      <c r="Y277" s="381">
        <v>-10.479437229437224</v>
      </c>
      <c r="Z277" s="643">
        <v>86.99</v>
      </c>
      <c r="AA277" s="644">
        <v>2.44</v>
      </c>
      <c r="AB277" s="644">
        <v>10.57</v>
      </c>
      <c r="AC277" s="61">
        <v>13.01</v>
      </c>
      <c r="AE277" s="323">
        <v>4.9219106952988625</v>
      </c>
      <c r="AF277" s="323">
        <v>33.010894521654819</v>
      </c>
      <c r="AG277" s="323">
        <v>45.241082718115223</v>
      </c>
    </row>
    <row r="278" spans="1:34" ht="18" customHeight="1" x14ac:dyDescent="0.3">
      <c r="A278" s="146" t="s">
        <v>756</v>
      </c>
      <c r="B278" s="109" t="s">
        <v>813</v>
      </c>
      <c r="C278" s="109" t="s">
        <v>819</v>
      </c>
      <c r="D278" s="109" t="s">
        <v>820</v>
      </c>
      <c r="E278" s="334" t="s">
        <v>227</v>
      </c>
      <c r="F278" s="335" t="s">
        <v>266</v>
      </c>
      <c r="G278" s="334"/>
      <c r="H278" s="347">
        <v>-2.0884999999999962</v>
      </c>
      <c r="I278" s="347">
        <v>-6.6335321067820985</v>
      </c>
      <c r="J278" s="347">
        <v>-0.28261832611831039</v>
      </c>
      <c r="K278" s="115">
        <v>-6.9468750000000057</v>
      </c>
      <c r="L278" s="115">
        <v>-26.777475653105043</v>
      </c>
      <c r="M278" s="115">
        <v>4.0690297998570202</v>
      </c>
      <c r="N278" s="359">
        <v>-20.2770625</v>
      </c>
      <c r="O278" s="359">
        <v>-56.792389635364628</v>
      </c>
      <c r="P278" s="359">
        <v>1.4660400016650073</v>
      </c>
      <c r="Q278" s="366">
        <v>0</v>
      </c>
      <c r="R278" s="366">
        <v>0</v>
      </c>
      <c r="S278" s="366">
        <v>0</v>
      </c>
      <c r="T278" s="372">
        <v>-4.375</v>
      </c>
      <c r="U278" s="372">
        <v>-21.473972922502327</v>
      </c>
      <c r="V278" s="372">
        <v>4.9661531279178348</v>
      </c>
      <c r="W278" s="381">
        <v>-18.125</v>
      </c>
      <c r="X278" s="381">
        <v>-51.913419913419915</v>
      </c>
      <c r="Y278" s="381">
        <v>2.8354978354978329</v>
      </c>
      <c r="Z278" s="643">
        <v>82.03</v>
      </c>
      <c r="AA278" s="644">
        <v>5.81</v>
      </c>
      <c r="AB278" s="644">
        <v>12.16</v>
      </c>
      <c r="AC278" s="61">
        <v>17.97</v>
      </c>
      <c r="AE278" s="323">
        <v>6.3509137806637881</v>
      </c>
      <c r="AF278" s="323">
        <v>30.846505452962063</v>
      </c>
      <c r="AG278" s="323">
        <v>58.258429637029636</v>
      </c>
    </row>
    <row r="279" spans="1:34" ht="18" customHeight="1" x14ac:dyDescent="0.3">
      <c r="A279" s="146" t="s">
        <v>756</v>
      </c>
      <c r="B279" s="147" t="s">
        <v>813</v>
      </c>
      <c r="C279" s="147" t="s">
        <v>814</v>
      </c>
      <c r="D279" s="146" t="s">
        <v>815</v>
      </c>
      <c r="E279" s="334"/>
      <c r="F279" s="335" t="s">
        <v>266</v>
      </c>
      <c r="G279" s="335"/>
      <c r="H279" s="347">
        <v>-2.6855625000000032</v>
      </c>
      <c r="I279" s="347">
        <v>-12.29395845200122</v>
      </c>
      <c r="J279" s="347">
        <v>-0.48513624496848706</v>
      </c>
      <c r="K279" s="115">
        <v>-8.4491250000000093</v>
      </c>
      <c r="L279" s="115">
        <v>-30.661782199418241</v>
      </c>
      <c r="M279" s="115">
        <v>2.6640046007913725</v>
      </c>
      <c r="N279" s="359">
        <v>-30.57361250000001</v>
      </c>
      <c r="O279" s="359">
        <v>-54.118392862137867</v>
      </c>
      <c r="P279" s="359">
        <v>-7.0632085039960089</v>
      </c>
      <c r="Q279" s="366">
        <v>0</v>
      </c>
      <c r="R279" s="366">
        <v>0</v>
      </c>
      <c r="S279" s="366">
        <v>0</v>
      </c>
      <c r="T279" s="372">
        <v>-3.125</v>
      </c>
      <c r="U279" s="372">
        <v>-15.598972922502341</v>
      </c>
      <c r="V279" s="372">
        <v>3.9641690009337083</v>
      </c>
      <c r="W279" s="381">
        <v>-24.125</v>
      </c>
      <c r="X279" s="381">
        <v>-44.368506493506494</v>
      </c>
      <c r="Y279" s="381">
        <v>-0.14935064935065157</v>
      </c>
      <c r="Z279" s="643">
        <v>65.569999999999993</v>
      </c>
      <c r="AA279" s="644">
        <v>2.11</v>
      </c>
      <c r="AB279" s="644">
        <v>32.32</v>
      </c>
      <c r="AC279" s="61">
        <v>34.43</v>
      </c>
      <c r="AE279" s="323">
        <v>11.808822207032733</v>
      </c>
      <c r="AF279" s="323">
        <v>33.325786800209613</v>
      </c>
      <c r="AG279" s="323">
        <v>47.055184358141858</v>
      </c>
    </row>
    <row r="280" spans="1:34" ht="18" customHeight="1" x14ac:dyDescent="0.3">
      <c r="A280" s="146" t="s">
        <v>756</v>
      </c>
      <c r="B280" s="311" t="s">
        <v>833</v>
      </c>
      <c r="C280" s="311" t="s">
        <v>834</v>
      </c>
      <c r="D280" s="330" t="s">
        <v>835</v>
      </c>
      <c r="E280" s="331"/>
      <c r="F280" s="332" t="s">
        <v>188</v>
      </c>
      <c r="G280" s="332"/>
      <c r="H280" s="347"/>
      <c r="I280" s="347"/>
      <c r="J280" s="347"/>
      <c r="K280" s="354"/>
      <c r="L280" s="354"/>
      <c r="M280" s="354"/>
      <c r="N280" s="359"/>
      <c r="O280" s="359"/>
      <c r="P280" s="359"/>
      <c r="Q280" s="366"/>
      <c r="R280" s="366"/>
      <c r="S280" s="366"/>
      <c r="T280" s="372"/>
      <c r="U280" s="372"/>
      <c r="V280" s="372"/>
      <c r="W280" s="381"/>
      <c r="X280" s="381"/>
      <c r="Y280" s="381"/>
      <c r="Z280" s="643">
        <v>61.737490347743744</v>
      </c>
      <c r="AA280" s="639">
        <v>23.571688917657355</v>
      </c>
      <c r="AB280" s="639">
        <v>14.690820734598899</v>
      </c>
      <c r="AC280" s="61">
        <v>38.262509652256256</v>
      </c>
      <c r="AH280" s="635">
        <v>27932.568881855001</v>
      </c>
    </row>
    <row r="281" spans="1:34" ht="18" customHeight="1" x14ac:dyDescent="0.3">
      <c r="A281" s="146" t="s">
        <v>756</v>
      </c>
      <c r="B281" s="146" t="s">
        <v>763</v>
      </c>
      <c r="C281" s="146" t="s">
        <v>837</v>
      </c>
      <c r="D281" s="146" t="s">
        <v>838</v>
      </c>
      <c r="E281" s="322"/>
      <c r="F281" s="321" t="s">
        <v>188</v>
      </c>
      <c r="G281" s="321"/>
      <c r="H281" s="347"/>
      <c r="I281" s="347"/>
      <c r="J281" s="347"/>
      <c r="K281" s="354"/>
      <c r="L281" s="354"/>
      <c r="M281" s="354"/>
      <c r="N281" s="359"/>
      <c r="O281" s="359"/>
      <c r="P281" s="359"/>
      <c r="Q281" s="366"/>
      <c r="R281" s="366"/>
      <c r="S281" s="366"/>
      <c r="T281" s="372"/>
      <c r="U281" s="372"/>
      <c r="V281" s="372"/>
      <c r="W281" s="381"/>
      <c r="X281" s="381"/>
      <c r="Y281" s="381"/>
      <c r="Z281" s="643">
        <v>60.734074237000002</v>
      </c>
      <c r="AA281" s="639">
        <v>11.577119114</v>
      </c>
      <c r="AB281" s="639">
        <v>27.688806648999996</v>
      </c>
      <c r="AC281" s="61">
        <v>39.265925762999998</v>
      </c>
      <c r="AH281" s="635">
        <v>5268.8508093559603</v>
      </c>
    </row>
    <row r="282" spans="1:34" ht="18" customHeight="1" x14ac:dyDescent="0.3">
      <c r="A282" s="146" t="s">
        <v>756</v>
      </c>
      <c r="B282" s="311" t="s">
        <v>763</v>
      </c>
      <c r="C282" s="311" t="s">
        <v>839</v>
      </c>
      <c r="D282" s="330" t="s">
        <v>840</v>
      </c>
      <c r="E282" s="331"/>
      <c r="F282" s="332" t="s">
        <v>188</v>
      </c>
      <c r="G282" s="332"/>
      <c r="H282" s="347"/>
      <c r="I282" s="347"/>
      <c r="J282" s="347"/>
      <c r="K282" s="354"/>
      <c r="L282" s="354"/>
      <c r="M282" s="354"/>
      <c r="N282" s="359"/>
      <c r="O282" s="359"/>
      <c r="P282" s="359"/>
      <c r="Q282" s="366"/>
      <c r="R282" s="366"/>
      <c r="S282" s="366"/>
      <c r="T282" s="372"/>
      <c r="U282" s="372"/>
      <c r="V282" s="372"/>
      <c r="W282" s="381"/>
      <c r="X282" s="381"/>
      <c r="Y282" s="381"/>
      <c r="Z282" s="643">
        <v>71.097632959504978</v>
      </c>
      <c r="AA282" s="639">
        <v>15.26840354124603</v>
      </c>
      <c r="AB282" s="639">
        <v>13.633963499248999</v>
      </c>
      <c r="AC282" s="61">
        <v>28.902367040495029</v>
      </c>
      <c r="AH282" s="635">
        <v>63388.991460724101</v>
      </c>
    </row>
    <row r="283" spans="1:34" ht="18" customHeight="1" x14ac:dyDescent="0.3">
      <c r="A283" s="146" t="s">
        <v>756</v>
      </c>
      <c r="B283" s="311" t="s">
        <v>757</v>
      </c>
      <c r="C283" s="311" t="s">
        <v>841</v>
      </c>
      <c r="D283" s="330" t="s">
        <v>842</v>
      </c>
      <c r="E283" s="331"/>
      <c r="F283" s="332" t="s">
        <v>188</v>
      </c>
      <c r="G283" s="332"/>
      <c r="H283" s="347"/>
      <c r="I283" s="347"/>
      <c r="J283" s="347"/>
      <c r="K283" s="354"/>
      <c r="L283" s="354"/>
      <c r="M283" s="354"/>
      <c r="N283" s="359"/>
      <c r="O283" s="359"/>
      <c r="P283" s="359"/>
      <c r="Q283" s="366"/>
      <c r="R283" s="366"/>
      <c r="S283" s="366"/>
      <c r="T283" s="372"/>
      <c r="U283" s="372"/>
      <c r="V283" s="372"/>
      <c r="W283" s="381"/>
      <c r="X283" s="381"/>
      <c r="Y283" s="381"/>
      <c r="Z283" s="643">
        <v>72.806353736276151</v>
      </c>
      <c r="AA283" s="643">
        <v>14.634374723287069</v>
      </c>
      <c r="AB283" s="643">
        <v>12.559271540436784</v>
      </c>
      <c r="AC283" s="61">
        <v>27.193646263723853</v>
      </c>
      <c r="AH283" s="635">
        <v>73824.424121461401</v>
      </c>
    </row>
    <row r="284" spans="1:34" ht="18" customHeight="1" x14ac:dyDescent="0.3">
      <c r="A284" s="146" t="s">
        <v>756</v>
      </c>
      <c r="B284" s="311" t="s">
        <v>757</v>
      </c>
      <c r="C284" s="311" t="s">
        <v>843</v>
      </c>
      <c r="D284" s="330" t="s">
        <v>844</v>
      </c>
      <c r="E284" s="331"/>
      <c r="F284" s="332" t="s">
        <v>188</v>
      </c>
      <c r="G284" s="332"/>
      <c r="H284" s="347"/>
      <c r="I284" s="347"/>
      <c r="J284" s="347"/>
      <c r="K284" s="354"/>
      <c r="L284" s="354"/>
      <c r="M284" s="354"/>
      <c r="N284" s="359"/>
      <c r="O284" s="359"/>
      <c r="P284" s="359"/>
      <c r="Q284" s="366"/>
      <c r="R284" s="366"/>
      <c r="S284" s="366"/>
      <c r="T284" s="372"/>
      <c r="U284" s="372"/>
      <c r="V284" s="372"/>
      <c r="W284" s="381"/>
      <c r="X284" s="381"/>
      <c r="Y284" s="381"/>
      <c r="Z284" s="643">
        <v>59.173286122994696</v>
      </c>
      <c r="AA284" s="639">
        <v>18.942708409301765</v>
      </c>
      <c r="AB284" s="639">
        <v>21.884005467703538</v>
      </c>
      <c r="AC284" s="61">
        <v>40.826713877005304</v>
      </c>
      <c r="AH284" s="635">
        <v>11717.501582519501</v>
      </c>
    </row>
    <row r="285" spans="1:34" ht="18" customHeight="1" x14ac:dyDescent="0.3">
      <c r="A285" s="146" t="s">
        <v>756</v>
      </c>
      <c r="B285" s="311" t="s">
        <v>757</v>
      </c>
      <c r="C285" s="146" t="s">
        <v>845</v>
      </c>
      <c r="D285" s="336" t="s">
        <v>846</v>
      </c>
      <c r="E285" s="322"/>
      <c r="F285" s="321" t="s">
        <v>188</v>
      </c>
      <c r="G285" s="321"/>
      <c r="H285" s="347"/>
      <c r="I285" s="347"/>
      <c r="J285" s="347"/>
      <c r="K285" s="354"/>
      <c r="L285" s="354"/>
      <c r="M285" s="354"/>
      <c r="N285" s="359"/>
      <c r="O285" s="359"/>
      <c r="P285" s="359"/>
      <c r="Q285" s="366"/>
      <c r="R285" s="366"/>
      <c r="S285" s="366"/>
      <c r="T285" s="372"/>
      <c r="U285" s="372"/>
      <c r="V285" s="372"/>
      <c r="W285" s="381"/>
      <c r="X285" s="381"/>
      <c r="Y285" s="381"/>
      <c r="Z285" s="643">
        <v>50.145208570868832</v>
      </c>
      <c r="AA285" s="639">
        <v>33.840477341536349</v>
      </c>
      <c r="AB285" s="639">
        <v>16.014314087594816</v>
      </c>
      <c r="AC285" s="61">
        <v>49.854791429131168</v>
      </c>
      <c r="AH285" s="635">
        <v>37691.500312368698</v>
      </c>
    </row>
    <row r="286" spans="1:34" ht="18" customHeight="1" x14ac:dyDescent="0.3">
      <c r="A286" s="146" t="s">
        <v>756</v>
      </c>
      <c r="B286" s="311" t="s">
        <v>757</v>
      </c>
      <c r="C286" s="311" t="s">
        <v>847</v>
      </c>
      <c r="D286" s="330" t="s">
        <v>848</v>
      </c>
      <c r="E286" s="331"/>
      <c r="F286" s="332" t="s">
        <v>188</v>
      </c>
      <c r="G286" s="332"/>
      <c r="H286" s="347"/>
      <c r="I286" s="347"/>
      <c r="J286" s="347"/>
      <c r="K286" s="354"/>
      <c r="L286" s="354"/>
      <c r="M286" s="354"/>
      <c r="N286" s="359"/>
      <c r="O286" s="359"/>
      <c r="P286" s="359"/>
      <c r="Q286" s="366"/>
      <c r="R286" s="366"/>
      <c r="S286" s="366"/>
      <c r="T286" s="372"/>
      <c r="U286" s="372"/>
      <c r="V286" s="372"/>
      <c r="W286" s="381"/>
      <c r="X286" s="381"/>
      <c r="Y286" s="381"/>
      <c r="Z286" s="643">
        <v>59.29535676804543</v>
      </c>
      <c r="AA286" s="639">
        <v>22.512210511715605</v>
      </c>
      <c r="AB286" s="639">
        <v>18.192432720238966</v>
      </c>
      <c r="AC286" s="61">
        <v>40.70464323195457</v>
      </c>
      <c r="AH286" s="635">
        <v>116223.52695401601</v>
      </c>
    </row>
    <row r="287" spans="1:34" ht="18" customHeight="1" x14ac:dyDescent="0.3">
      <c r="A287" s="146" t="s">
        <v>756</v>
      </c>
      <c r="B287" s="147" t="s">
        <v>757</v>
      </c>
      <c r="C287" s="147" t="s">
        <v>850</v>
      </c>
      <c r="D287" s="333" t="s">
        <v>851</v>
      </c>
      <c r="E287" s="331"/>
      <c r="F287" s="332" t="s">
        <v>188</v>
      </c>
      <c r="G287" s="332"/>
      <c r="H287" s="347"/>
      <c r="I287" s="347"/>
      <c r="J287" s="347"/>
      <c r="K287" s="354"/>
      <c r="L287" s="354"/>
      <c r="M287" s="354"/>
      <c r="N287" s="359"/>
      <c r="O287" s="359"/>
      <c r="P287" s="359"/>
      <c r="Q287" s="366"/>
      <c r="R287" s="366"/>
      <c r="S287" s="366"/>
      <c r="T287" s="372"/>
      <c r="U287" s="372"/>
      <c r="V287" s="372"/>
      <c r="W287" s="381"/>
      <c r="X287" s="381"/>
      <c r="Y287" s="381"/>
      <c r="Z287" s="643">
        <v>60.112859059316548</v>
      </c>
      <c r="AA287" s="643">
        <v>25.479104647538968</v>
      </c>
      <c r="AB287" s="643">
        <v>14.40803629314448</v>
      </c>
      <c r="AC287" s="61">
        <v>39.887140940683452</v>
      </c>
      <c r="AH287" s="635">
        <v>30787.0091405518</v>
      </c>
    </row>
    <row r="288" spans="1:34" ht="18" customHeight="1" x14ac:dyDescent="0.3">
      <c r="A288" s="146" t="s">
        <v>756</v>
      </c>
      <c r="B288" s="147" t="s">
        <v>757</v>
      </c>
      <c r="C288" s="147" t="s">
        <v>850</v>
      </c>
      <c r="D288" s="333" t="s">
        <v>853</v>
      </c>
      <c r="E288" s="331"/>
      <c r="F288" s="332" t="s">
        <v>192</v>
      </c>
      <c r="G288" s="335"/>
      <c r="H288" s="347"/>
      <c r="I288" s="347"/>
      <c r="J288" s="347"/>
      <c r="K288" s="354"/>
      <c r="L288" s="354"/>
      <c r="M288" s="354"/>
      <c r="N288" s="359"/>
      <c r="O288" s="359"/>
      <c r="P288" s="359"/>
      <c r="Q288" s="366"/>
      <c r="R288" s="366"/>
      <c r="S288" s="366"/>
      <c r="T288" s="372"/>
      <c r="U288" s="372"/>
      <c r="V288" s="372"/>
      <c r="W288" s="381"/>
      <c r="X288" s="381"/>
      <c r="Y288" s="381"/>
      <c r="Z288" s="643">
        <v>61.016080444991999</v>
      </c>
      <c r="AA288" s="643">
        <v>27.19763883057103</v>
      </c>
      <c r="AB288" s="643">
        <v>11.786280724436969</v>
      </c>
      <c r="AC288" s="61">
        <v>38.983919555008001</v>
      </c>
      <c r="AH288" s="635">
        <v>22403.155889964801</v>
      </c>
    </row>
    <row r="289" spans="1:34" ht="18" customHeight="1" x14ac:dyDescent="0.3">
      <c r="A289" s="146" t="s">
        <v>756</v>
      </c>
      <c r="B289" s="147" t="s">
        <v>757</v>
      </c>
      <c r="C289" s="147" t="s">
        <v>850</v>
      </c>
      <c r="D289" s="333" t="s">
        <v>854</v>
      </c>
      <c r="E289" s="331"/>
      <c r="F289" s="332" t="s">
        <v>192</v>
      </c>
      <c r="G289" s="332"/>
      <c r="H289" s="347"/>
      <c r="I289" s="347"/>
      <c r="J289" s="347"/>
      <c r="K289" s="354"/>
      <c r="L289" s="354"/>
      <c r="M289" s="354"/>
      <c r="N289" s="359"/>
      <c r="O289" s="359"/>
      <c r="P289" s="359"/>
      <c r="Q289" s="366"/>
      <c r="R289" s="366"/>
      <c r="S289" s="366"/>
      <c r="T289" s="372"/>
      <c r="U289" s="372"/>
      <c r="V289" s="372"/>
      <c r="W289" s="381"/>
      <c r="X289" s="381"/>
      <c r="Y289" s="381"/>
      <c r="Z289" s="643">
        <v>57.886823988608484</v>
      </c>
      <c r="AA289" s="643">
        <v>20.793434277322429</v>
      </c>
      <c r="AB289" s="643">
        <v>21.319741734069087</v>
      </c>
      <c r="AC289" s="61">
        <v>42.113176011391516</v>
      </c>
      <c r="AH289" s="635">
        <v>8383.8532505883795</v>
      </c>
    </row>
    <row r="290" spans="1:34" ht="18" customHeight="1" x14ac:dyDescent="0.3">
      <c r="A290" s="146" t="s">
        <v>756</v>
      </c>
      <c r="B290" s="146" t="s">
        <v>757</v>
      </c>
      <c r="C290" s="146" t="s">
        <v>855</v>
      </c>
      <c r="D290" s="146" t="s">
        <v>856</v>
      </c>
      <c r="E290" s="322"/>
      <c r="F290" s="321" t="s">
        <v>188</v>
      </c>
      <c r="G290" s="321"/>
      <c r="H290" s="347"/>
      <c r="I290" s="347"/>
      <c r="J290" s="347"/>
      <c r="K290" s="354"/>
      <c r="L290" s="354"/>
      <c r="M290" s="354"/>
      <c r="N290" s="359"/>
      <c r="O290" s="359"/>
      <c r="P290" s="359"/>
      <c r="Q290" s="366"/>
      <c r="R290" s="366"/>
      <c r="S290" s="366"/>
      <c r="T290" s="372"/>
      <c r="U290" s="372"/>
      <c r="V290" s="372"/>
      <c r="W290" s="381"/>
      <c r="X290" s="381"/>
      <c r="Y290" s="381"/>
      <c r="Z290" s="643">
        <v>63.754660062613958</v>
      </c>
      <c r="AA290" s="639">
        <v>20.010620792495111</v>
      </c>
      <c r="AB290" s="639">
        <v>16.234719144890931</v>
      </c>
      <c r="AC290" s="61">
        <v>36.245339937386042</v>
      </c>
      <c r="AH290" s="635">
        <v>109736.323696665</v>
      </c>
    </row>
    <row r="291" spans="1:34" ht="18" customHeight="1" x14ac:dyDescent="0.3">
      <c r="A291" s="146" t="s">
        <v>756</v>
      </c>
      <c r="B291" s="146" t="s">
        <v>757</v>
      </c>
      <c r="C291" s="146" t="s">
        <v>857</v>
      </c>
      <c r="D291" s="146" t="s">
        <v>858</v>
      </c>
      <c r="E291" s="322"/>
      <c r="F291" s="321" t="s">
        <v>188</v>
      </c>
      <c r="G291" s="321"/>
      <c r="H291" s="347"/>
      <c r="I291" s="347"/>
      <c r="J291" s="347"/>
      <c r="K291" s="354"/>
      <c r="L291" s="354"/>
      <c r="M291" s="354"/>
      <c r="N291" s="359"/>
      <c r="O291" s="359"/>
      <c r="P291" s="359"/>
      <c r="Q291" s="366"/>
      <c r="R291" s="366"/>
      <c r="S291" s="366"/>
      <c r="T291" s="372"/>
      <c r="U291" s="372"/>
      <c r="V291" s="372"/>
      <c r="W291" s="381"/>
      <c r="X291" s="381"/>
      <c r="Y291" s="381"/>
      <c r="Z291" s="643">
        <v>55.385514280558297</v>
      </c>
      <c r="AA291" s="639">
        <v>30.878045993604182</v>
      </c>
      <c r="AB291" s="639">
        <v>13.736439725837524</v>
      </c>
      <c r="AC291" s="61">
        <v>44.614485719441703</v>
      </c>
      <c r="AH291" s="635">
        <v>33686.055756736299</v>
      </c>
    </row>
    <row r="292" spans="1:34" ht="18" customHeight="1" x14ac:dyDescent="0.3">
      <c r="A292" s="146" t="s">
        <v>756</v>
      </c>
      <c r="B292" s="311" t="s">
        <v>757</v>
      </c>
      <c r="C292" s="311" t="s">
        <v>859</v>
      </c>
      <c r="D292" s="330" t="s">
        <v>860</v>
      </c>
      <c r="E292" s="331"/>
      <c r="F292" s="332" t="s">
        <v>188</v>
      </c>
      <c r="G292" s="332"/>
      <c r="H292" s="347"/>
      <c r="I292" s="347"/>
      <c r="J292" s="347"/>
      <c r="K292" s="354"/>
      <c r="L292" s="354"/>
      <c r="M292" s="354"/>
      <c r="N292" s="359"/>
      <c r="O292" s="359"/>
      <c r="P292" s="359"/>
      <c r="Q292" s="366"/>
      <c r="R292" s="366"/>
      <c r="S292" s="366"/>
      <c r="T292" s="372"/>
      <c r="U292" s="372"/>
      <c r="V292" s="372"/>
      <c r="W292" s="381"/>
      <c r="X292" s="381"/>
      <c r="Y292" s="381"/>
      <c r="Z292" s="643">
        <v>68.737138392482109</v>
      </c>
      <c r="AA292" s="639">
        <v>24.668542327450133</v>
      </c>
      <c r="AB292" s="639">
        <v>6.5943192800677632</v>
      </c>
      <c r="AC292" s="61">
        <v>31.262861607517898</v>
      </c>
      <c r="AH292" s="635">
        <v>13705.873097984899</v>
      </c>
    </row>
    <row r="293" spans="1:34" ht="18" customHeight="1" x14ac:dyDescent="0.3">
      <c r="A293" s="146" t="s">
        <v>756</v>
      </c>
      <c r="B293" s="311" t="s">
        <v>757</v>
      </c>
      <c r="C293" s="311" t="s">
        <v>861</v>
      </c>
      <c r="D293" s="330" t="s">
        <v>862</v>
      </c>
      <c r="E293" s="331"/>
      <c r="F293" s="332" t="s">
        <v>188</v>
      </c>
      <c r="G293" s="332"/>
      <c r="H293" s="347"/>
      <c r="I293" s="347"/>
      <c r="J293" s="347"/>
      <c r="K293" s="354"/>
      <c r="L293" s="354"/>
      <c r="M293" s="354"/>
      <c r="N293" s="359"/>
      <c r="O293" s="359"/>
      <c r="P293" s="359"/>
      <c r="Q293" s="366"/>
      <c r="R293" s="366"/>
      <c r="S293" s="366"/>
      <c r="T293" s="372"/>
      <c r="U293" s="372"/>
      <c r="V293" s="372"/>
      <c r="W293" s="381"/>
      <c r="X293" s="381"/>
      <c r="Y293" s="381"/>
      <c r="Z293" s="643">
        <v>67.216691930018243</v>
      </c>
      <c r="AA293" s="643">
        <v>22.224771956855214</v>
      </c>
      <c r="AB293" s="643">
        <v>10.558536113126539</v>
      </c>
      <c r="AC293" s="61">
        <v>32.783308069981757</v>
      </c>
      <c r="AH293" s="635">
        <v>71453.097412933101</v>
      </c>
    </row>
    <row r="294" spans="1:34" ht="18" customHeight="1" x14ac:dyDescent="0.3">
      <c r="A294" s="146" t="s">
        <v>756</v>
      </c>
      <c r="B294" s="311" t="s">
        <v>766</v>
      </c>
      <c r="C294" s="311" t="s">
        <v>863</v>
      </c>
      <c r="D294" s="330" t="s">
        <v>864</v>
      </c>
      <c r="E294" s="331" t="s">
        <v>187</v>
      </c>
      <c r="F294" s="332" t="s">
        <v>188</v>
      </c>
      <c r="G294" s="332"/>
      <c r="H294" s="347"/>
      <c r="I294" s="347"/>
      <c r="J294" s="347"/>
      <c r="K294" s="354"/>
      <c r="L294" s="354"/>
      <c r="M294" s="354"/>
      <c r="N294" s="359"/>
      <c r="O294" s="359"/>
      <c r="P294" s="359"/>
      <c r="Q294" s="366"/>
      <c r="R294" s="366"/>
      <c r="S294" s="366"/>
      <c r="T294" s="372"/>
      <c r="U294" s="372"/>
      <c r="V294" s="372"/>
      <c r="W294" s="381"/>
      <c r="X294" s="381"/>
      <c r="Y294" s="381"/>
      <c r="Z294" s="643">
        <v>95.461172234388044</v>
      </c>
      <c r="AA294" s="643">
        <v>3.27785939285137</v>
      </c>
      <c r="AB294" s="643">
        <v>1.2609683727605898</v>
      </c>
      <c r="AC294" s="61">
        <v>4.53882776561196</v>
      </c>
      <c r="AH294" s="635">
        <v>58150.7293129385</v>
      </c>
    </row>
    <row r="295" spans="1:34" ht="18" customHeight="1" x14ac:dyDescent="0.3">
      <c r="C295" s="85"/>
      <c r="D295" s="85"/>
      <c r="E295" s="320"/>
      <c r="F295" s="321"/>
      <c r="G295" s="322"/>
      <c r="H295" s="347"/>
      <c r="I295" s="347"/>
      <c r="J295" s="347"/>
      <c r="K295" s="354"/>
      <c r="L295" s="354"/>
      <c r="M295" s="354"/>
      <c r="N295" s="359"/>
      <c r="O295" s="359"/>
      <c r="P295" s="359"/>
      <c r="Q295" s="366"/>
      <c r="R295" s="366"/>
      <c r="S295" s="366"/>
      <c r="T295" s="372"/>
      <c r="U295" s="372"/>
      <c r="V295" s="372"/>
      <c r="W295" s="381"/>
      <c r="X295" s="381"/>
      <c r="Y295" s="381"/>
      <c r="Z295" s="639"/>
      <c r="AA295" s="639"/>
      <c r="AB295" s="639"/>
      <c r="AC295" s="61"/>
    </row>
    <row r="296" spans="1:34" ht="18" customHeight="1" x14ac:dyDescent="0.3">
      <c r="C296" s="85"/>
      <c r="D296" s="85"/>
      <c r="E296" s="320"/>
      <c r="F296" s="321"/>
      <c r="G296" s="322"/>
      <c r="H296" s="347"/>
      <c r="I296" s="347"/>
      <c r="J296" s="347"/>
      <c r="K296" s="354"/>
      <c r="L296" s="354"/>
      <c r="M296" s="354"/>
      <c r="N296" s="359"/>
      <c r="O296" s="359"/>
      <c r="P296" s="359"/>
      <c r="Q296" s="366"/>
      <c r="R296" s="366"/>
      <c r="S296" s="366"/>
      <c r="T296" s="372"/>
      <c r="U296" s="372"/>
      <c r="V296" s="372"/>
      <c r="W296" s="381"/>
      <c r="X296" s="381"/>
      <c r="Y296" s="381"/>
      <c r="Z296" s="639"/>
      <c r="AA296" s="639"/>
      <c r="AB296" s="639"/>
      <c r="AC296" s="61"/>
    </row>
    <row r="297" spans="1:34" x14ac:dyDescent="0.3">
      <c r="E297" s="344"/>
      <c r="F297" s="344"/>
      <c r="G297" s="344"/>
    </row>
    <row r="298" spans="1:34" x14ac:dyDescent="0.3">
      <c r="E298" s="344"/>
      <c r="F298" s="344"/>
      <c r="G298" s="344"/>
    </row>
    <row r="299" spans="1:34" x14ac:dyDescent="0.3">
      <c r="E299" s="344"/>
      <c r="F299" s="344"/>
      <c r="G299" s="344"/>
    </row>
    <row r="300" spans="1:34" x14ac:dyDescent="0.3">
      <c r="E300" s="344"/>
      <c r="F300" s="344"/>
      <c r="G300" s="344"/>
    </row>
    <row r="301" spans="1:34" x14ac:dyDescent="0.3">
      <c r="E301" s="344"/>
      <c r="F301" s="344"/>
      <c r="G301" s="344"/>
    </row>
    <row r="302" spans="1:34" x14ac:dyDescent="0.3">
      <c r="E302" s="344"/>
      <c r="F302" s="344"/>
      <c r="G302" s="344"/>
    </row>
    <row r="303" spans="1:34" x14ac:dyDescent="0.3">
      <c r="E303" s="344"/>
      <c r="F303" s="344"/>
      <c r="G303" s="344"/>
    </row>
    <row r="304" spans="1:34" x14ac:dyDescent="0.3">
      <c r="E304" s="344"/>
      <c r="F304" s="344"/>
      <c r="G304" s="344"/>
    </row>
    <row r="305" spans="5:7" x14ac:dyDescent="0.3">
      <c r="E305" s="344"/>
      <c r="F305" s="344"/>
      <c r="G305" s="344"/>
    </row>
    <row r="306" spans="5:7" x14ac:dyDescent="0.3">
      <c r="E306" s="344"/>
      <c r="F306" s="344"/>
      <c r="G306" s="344"/>
    </row>
    <row r="307" spans="5:7" x14ac:dyDescent="0.3">
      <c r="E307" s="344"/>
      <c r="F307" s="344"/>
      <c r="G307" s="344"/>
    </row>
    <row r="308" spans="5:7" x14ac:dyDescent="0.3">
      <c r="E308" s="344"/>
      <c r="F308" s="344"/>
      <c r="G308" s="344"/>
    </row>
    <row r="309" spans="5:7" x14ac:dyDescent="0.3">
      <c r="E309" s="344"/>
      <c r="F309" s="344"/>
      <c r="G309" s="344"/>
    </row>
    <row r="310" spans="5:7" x14ac:dyDescent="0.3">
      <c r="E310" s="344"/>
      <c r="F310" s="344"/>
      <c r="G310" s="344"/>
    </row>
    <row r="311" spans="5:7" x14ac:dyDescent="0.3">
      <c r="E311" s="344"/>
      <c r="F311" s="344"/>
      <c r="G311" s="344"/>
    </row>
    <row r="312" spans="5:7" x14ac:dyDescent="0.3">
      <c r="E312" s="344"/>
      <c r="F312" s="344"/>
      <c r="G312" s="344"/>
    </row>
    <row r="313" spans="5:7" x14ac:dyDescent="0.3">
      <c r="E313" s="344"/>
      <c r="F313" s="344"/>
      <c r="G313" s="344"/>
    </row>
    <row r="314" spans="5:7" x14ac:dyDescent="0.3">
      <c r="E314" s="344"/>
      <c r="F314" s="344"/>
      <c r="G314" s="344"/>
    </row>
    <row r="315" spans="5:7" x14ac:dyDescent="0.3">
      <c r="E315" s="344"/>
      <c r="F315" s="344"/>
      <c r="G315" s="344"/>
    </row>
    <row r="316" spans="5:7" x14ac:dyDescent="0.3">
      <c r="E316" s="344"/>
      <c r="F316" s="344"/>
      <c r="G316" s="344"/>
    </row>
    <row r="317" spans="5:7" x14ac:dyDescent="0.3">
      <c r="E317" s="344"/>
      <c r="F317" s="344"/>
      <c r="G317" s="344"/>
    </row>
    <row r="318" spans="5:7" x14ac:dyDescent="0.3">
      <c r="E318" s="344"/>
      <c r="F318" s="344"/>
      <c r="G318" s="344"/>
    </row>
    <row r="319" spans="5:7" x14ac:dyDescent="0.3">
      <c r="E319" s="344"/>
      <c r="F319" s="344"/>
      <c r="G319" s="344"/>
    </row>
    <row r="320" spans="5:7" x14ac:dyDescent="0.3">
      <c r="E320" s="344"/>
      <c r="F320" s="344"/>
      <c r="G320" s="344"/>
    </row>
    <row r="321" spans="5:7" x14ac:dyDescent="0.3">
      <c r="E321" s="344"/>
      <c r="F321" s="344"/>
      <c r="G321" s="344"/>
    </row>
    <row r="322" spans="5:7" x14ac:dyDescent="0.3">
      <c r="E322" s="344"/>
      <c r="F322" s="344"/>
      <c r="G322" s="344"/>
    </row>
    <row r="323" spans="5:7" x14ac:dyDescent="0.3">
      <c r="E323" s="344"/>
      <c r="F323" s="344"/>
      <c r="G323" s="344"/>
    </row>
    <row r="324" spans="5:7" x14ac:dyDescent="0.3">
      <c r="E324" s="344"/>
      <c r="F324" s="344"/>
      <c r="G324" s="344"/>
    </row>
    <row r="325" spans="5:7" x14ac:dyDescent="0.3">
      <c r="E325" s="344"/>
      <c r="F325" s="344"/>
      <c r="G325" s="344"/>
    </row>
    <row r="326" spans="5:7" x14ac:dyDescent="0.3">
      <c r="E326" s="344"/>
      <c r="F326" s="344"/>
      <c r="G326" s="344"/>
    </row>
    <row r="327" spans="5:7" x14ac:dyDescent="0.3">
      <c r="E327" s="344"/>
      <c r="F327" s="344"/>
      <c r="G327" s="344"/>
    </row>
    <row r="328" spans="5:7" x14ac:dyDescent="0.3">
      <c r="E328" s="344"/>
      <c r="F328" s="344"/>
      <c r="G328" s="344"/>
    </row>
  </sheetData>
  <sortState xmlns:xlrd2="http://schemas.microsoft.com/office/spreadsheetml/2017/richdata2" ref="A75:AK99">
    <sortCondition ref="D75:D99"/>
  </sortState>
  <mergeCells count="3">
    <mergeCell ref="H1:Y1"/>
    <mergeCell ref="Z1:AC1"/>
    <mergeCell ref="AE1:AG1"/>
  </mergeCell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6D51-D347-43E2-949D-0519E6524892}">
  <dimension ref="A2:A9"/>
  <sheetViews>
    <sheetView tabSelected="1" topLeftCell="A4" workbookViewId="0">
      <selection activeCell="A9" sqref="A9"/>
    </sheetView>
  </sheetViews>
  <sheetFormatPr defaultRowHeight="14.4" x14ac:dyDescent="0.3"/>
  <cols>
    <col min="1" max="1" width="131.77734375" style="89" customWidth="1"/>
  </cols>
  <sheetData>
    <row r="2" spans="1:1" ht="43.2" x14ac:dyDescent="0.3">
      <c r="A2" s="89" t="s">
        <v>1118</v>
      </c>
    </row>
    <row r="4" spans="1:1" x14ac:dyDescent="0.3">
      <c r="A4" s="89" t="s">
        <v>1268</v>
      </c>
    </row>
    <row r="5" spans="1:1" ht="100.8" x14ac:dyDescent="0.3">
      <c r="A5" s="89" t="s">
        <v>1290</v>
      </c>
    </row>
    <row r="7" spans="1:1" x14ac:dyDescent="0.3">
      <c r="A7" s="89" t="s">
        <v>1269</v>
      </c>
    </row>
    <row r="9" spans="1:1" ht="297.60000000000002" customHeight="1" x14ac:dyDescent="0.3">
      <c r="A9" s="89" t="s">
        <v>1291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1a.birds</vt:lpstr>
      <vt:lpstr>1b.mammals</vt:lpstr>
      <vt:lpstr>1c.frogs</vt:lpstr>
      <vt:lpstr>1d.reptiles</vt:lpstr>
      <vt:lpstr>1e.fish</vt:lpstr>
      <vt:lpstr>1f.crayfish</vt:lpstr>
      <vt:lpstr>1g.Site-levelPopEst</vt:lpstr>
      <vt:lpstr>1h.allspecies_summary</vt:lpstr>
      <vt:lpstr>ReadMe</vt:lpstr>
      <vt:lpstr>report authors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legge</dc:creator>
  <cp:lastModifiedBy>sarah legge</cp:lastModifiedBy>
  <dcterms:created xsi:type="dcterms:W3CDTF">2021-04-14T01:27:56Z</dcterms:created>
  <dcterms:modified xsi:type="dcterms:W3CDTF">2021-08-11T04:13:17Z</dcterms:modified>
</cp:coreProperties>
</file>